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Mpume.Damane\Documents\2024\DOCUMENTS\P3 AND P21-2\"/>
    </mc:Choice>
  </mc:AlternateContent>
  <xr:revisionPtr revIDLastSave="0" documentId="13_ncr:1_{81C83FB6-D269-451A-AF04-E1194D73AF1F}" xr6:coauthVersionLast="41" xr6:coauthVersionMax="41" xr10:uidLastSave="{00000000-0000-0000-0000-000000000000}"/>
  <bookViews>
    <workbookView xWindow="-120" yWindow="-120" windowWidth="29040" windowHeight="15840" tabRatio="958" activeTab="1" xr2:uid="{00000000-000D-0000-FFFF-FFFF00000000}"/>
  </bookViews>
  <sheets>
    <sheet name="Information" sheetId="228" r:id="rId1"/>
    <sheet name="C1.2" sheetId="159" r:id="rId2"/>
    <sheet name="C1.3" sheetId="161" r:id="rId3"/>
    <sheet name="C1.5" sheetId="163" r:id="rId4"/>
    <sheet name="C1.6 " sheetId="327" r:id="rId5"/>
    <sheet name="C1.7" sheetId="165" r:id="rId6"/>
    <sheet name="C2.1" sheetId="312" r:id="rId7"/>
    <sheet name="C3.1 " sheetId="208" r:id="rId8"/>
    <sheet name="C3.2" sheetId="308" r:id="rId9"/>
    <sheet name="C3.3" sheetId="321" r:id="rId10"/>
    <sheet name="C4.3" sheetId="319" r:id="rId11"/>
    <sheet name="C4.4" sheetId="310" r:id="rId12"/>
    <sheet name="C5.2" sheetId="304" r:id="rId13"/>
    <sheet name="C8.1" sheetId="305" r:id="rId14"/>
    <sheet name="C8.5" sheetId="193" r:id="rId15"/>
    <sheet name="C8.8" sheetId="171" r:id="rId16"/>
    <sheet name="C9.1" sheetId="294" r:id="rId17"/>
    <sheet name="C10.1" sheetId="333" r:id="rId18"/>
    <sheet name="C11.1" sheetId="241" r:id="rId19"/>
    <sheet name="C11.2" sheetId="242" r:id="rId20"/>
    <sheet name="C11.3" sheetId="314" r:id="rId21"/>
    <sheet name="C11.4" sheetId="244" r:id="rId22"/>
    <sheet name="C11.6" sheetId="246" r:id="rId23"/>
    <sheet name="C11.7" sheetId="247" r:id="rId24"/>
    <sheet name="C11.9" sheetId="307" r:id="rId25"/>
    <sheet name="C13.8" sheetId="248" r:id="rId26"/>
    <sheet name="C14" sheetId="330" r:id="rId27"/>
    <sheet name="C20.1" sheetId="315" r:id="rId28"/>
    <sheet name="PSC15.1" sheetId="194" r:id="rId29"/>
    <sheet name="A1" sheetId="285" r:id="rId30"/>
    <sheet name="Chapter E" sheetId="260" r:id="rId31"/>
    <sheet name="E1" sheetId="286" r:id="rId32"/>
    <sheet name="Chapter F" sheetId="262" r:id="rId33"/>
    <sheet name="F1" sheetId="287" r:id="rId34"/>
    <sheet name="Summary1" sheetId="288" r:id="rId35"/>
    <sheet name="CPG" sheetId="283" r:id="rId36"/>
    <sheet name="C1.6 CPG " sheetId="291" r:id="rId37"/>
    <sheet name="C3.1  CPG" sheetId="328" r:id="rId38"/>
    <sheet name="C3.3 CPG" sheetId="329" r:id="rId39"/>
    <sheet name="C11.2 CPG" sheetId="322" r:id="rId40"/>
    <sheet name="C11.4 CPG" sheetId="324" r:id="rId41"/>
    <sheet name="C11.7 CPG" sheetId="325" r:id="rId42"/>
  </sheets>
  <externalReferences>
    <externalReference r:id="rId43"/>
    <externalReference r:id="rId44"/>
    <externalReference r:id="rId45"/>
    <externalReference r:id="rId46"/>
  </externalReferences>
  <definedNames>
    <definedName name="_Backfill">Information!$E$52</definedName>
    <definedName name="_Clearing">Information!$E$51</definedName>
    <definedName name="_Duration">Information!$C$13</definedName>
    <definedName name="_Excavation">Information!$E$45</definedName>
    <definedName name="_Geofabric">Information!$E$56</definedName>
    <definedName name="_HaulPerMetre">Information!$E$39</definedName>
    <definedName name="_Kerb">Information!$E$59</definedName>
    <definedName name="_LabourDaily">Information!$C$37</definedName>
    <definedName name="_LabourRate">Information!$C$35</definedName>
    <definedName name="_Mix">Information!$E$42</definedName>
    <definedName name="_Place">Information!$E$43</definedName>
    <definedName name="_Spread">Information!$E$48</definedName>
    <definedName name="_Stamp">Information!$E$46</definedName>
    <definedName name="_Subsoil">Information!$E$57</definedName>
    <definedName name="_Summary">Information!$C$28</definedName>
    <definedName name="_Wacker">Information!$E$47</definedName>
    <definedName name="Client1">Information!$C$2</definedName>
    <definedName name="Client2">Information!$C$3</definedName>
    <definedName name="ContractDescription">Information!$C$6</definedName>
    <definedName name="ContractNo">Information!$C$5</definedName>
    <definedName name="Page_A">Information!$C$25</definedName>
    <definedName name="Page_E">Information!$C$26</definedName>
    <definedName name="Page_F">Information!$C$27</definedName>
    <definedName name="_xlnm.Print_Area" localSheetId="29">'A1'!$A$2:$F$45</definedName>
    <definedName name="_xlnm.Print_Area" localSheetId="1">'C1.2'!$A$2:$G$115</definedName>
    <definedName name="_xlnm.Print_Area" localSheetId="2">'C1.3'!$A$2:$H$73</definedName>
    <definedName name="_xlnm.Print_Area" localSheetId="3">'C1.5'!$A$2:$H$55</definedName>
    <definedName name="_xlnm.Print_Area" localSheetId="4">'C1.6 '!$A$2:$H$49</definedName>
    <definedName name="_xlnm.Print_Area" localSheetId="36">'C1.6 CPG '!$A$2:$H$46</definedName>
    <definedName name="_xlnm.Print_Area" localSheetId="5">'C1.7'!$A$2:$H$65</definedName>
    <definedName name="_xlnm.Print_Area" localSheetId="18">'C11.1'!$A$2:$H$64</definedName>
    <definedName name="_xlnm.Print_Area" localSheetId="19">'C11.2'!$A$2:$G$60</definedName>
    <definedName name="_xlnm.Print_Area" localSheetId="39">'C11.2 CPG'!$A$2:$H$60</definedName>
    <definedName name="_xlnm.Print_Area" localSheetId="20">'C11.3'!$A$2:$H$84</definedName>
    <definedName name="_xlnm.Print_Area" localSheetId="21">'C11.4'!$A$2:$G$121</definedName>
    <definedName name="_xlnm.Print_Area" localSheetId="40">'C11.4 CPG'!$A$2:$H$117</definedName>
    <definedName name="_xlnm.Print_Area" localSheetId="22">'C11.6'!$A$2:$H$107</definedName>
    <definedName name="_xlnm.Print_Area" localSheetId="23">'C11.7'!$A$2:$H$94</definedName>
    <definedName name="_xlnm.Print_Area" localSheetId="41">'C11.7 CPG'!$A$2:$H$95</definedName>
    <definedName name="_xlnm.Print_Area" localSheetId="24">'C11.9'!$A$2:$H$73</definedName>
    <definedName name="_xlnm.Print_Area" localSheetId="25">'C13.8'!$A$2:$H$64</definedName>
    <definedName name="_xlnm.Print_Area" localSheetId="6">'C2.1'!$A$2:$H$65</definedName>
    <definedName name="_xlnm.Print_Area" localSheetId="27">'C20.1'!$A$2:$H$63</definedName>
    <definedName name="_xlnm.Print_Area" localSheetId="7">'C3.1 '!$A$2:$H$129</definedName>
    <definedName name="_xlnm.Print_Area" localSheetId="37">'C3.1  CPG'!$A$2:$H$129</definedName>
    <definedName name="_xlnm.Print_Area" localSheetId="8">'C3.2'!$A$2:$H$102</definedName>
    <definedName name="_xlnm.Print_Area" localSheetId="9">'C3.3'!$A$2:$H$138</definedName>
    <definedName name="_xlnm.Print_Area" localSheetId="38">'C3.3 CPG'!$A$2:$H$131</definedName>
    <definedName name="_xlnm.Print_Area" localSheetId="10">'C4.3'!$A$1:$F$64</definedName>
    <definedName name="_xlnm.Print_Area" localSheetId="11">'C4.4'!$A$1:$F$66</definedName>
    <definedName name="_xlnm.Print_Area" localSheetId="12">'C5.2'!$A$2:$H$25</definedName>
    <definedName name="_xlnm.Print_Area" localSheetId="13">'C8.1'!$B$2:$G$66</definedName>
    <definedName name="_xlnm.Print_Area" localSheetId="14">'C8.5'!$A$2:$G$61</definedName>
    <definedName name="_xlnm.Print_Area" localSheetId="15">'C8.8'!$A$2:$H$136</definedName>
    <definedName name="_xlnm.Print_Area" localSheetId="16">'C9.1'!$A$2:$G$65</definedName>
    <definedName name="_xlnm.Print_Area" localSheetId="30">'Chapter E'!$A$2:$H$66</definedName>
    <definedName name="_xlnm.Print_Area" localSheetId="32">'Chapter F'!$A$2:$H$117</definedName>
    <definedName name="_xlnm.Print_Area" localSheetId="35">CPG!$A$1:$R$50</definedName>
    <definedName name="_xlnm.Print_Area" localSheetId="31">'E1'!$A$1:$F$15</definedName>
    <definedName name="_xlnm.Print_Area" localSheetId="33">'F1'!$A$1:$F$15</definedName>
    <definedName name="_xlnm.Print_Area" localSheetId="28">'PSC15.1'!$A$2:$H$71</definedName>
    <definedName name="_xlnm.Print_Area" localSheetId="34">Summary1!$A$1:$F$26</definedName>
    <definedName name="_xlnm.Print_Titles" localSheetId="18">'C11.1'!$5:$10</definedName>
    <definedName name="_xlnm.Print_Titles" localSheetId="19">'C11.2'!$5:$9</definedName>
    <definedName name="_xlnm.Print_Titles" localSheetId="39">'C11.2 CPG'!$5:$9</definedName>
    <definedName name="_xlnm.Print_Titles" localSheetId="20">'C11.3'!$5:$9</definedName>
    <definedName name="_xlnm.Print_Titles" localSheetId="23">'C11.7'!$5:$10</definedName>
    <definedName name="_xlnm.Print_Titles" localSheetId="41">'C11.7 CPG'!$5:$10</definedName>
    <definedName name="_xlnm.Print_Titles" localSheetId="24">'C11.9'!$5:$9</definedName>
    <definedName name="tbl_Units">[1]Tables!$B$4:$B$32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 i="262" l="1"/>
  <c r="N48" i="283" l="1"/>
  <c r="D43" i="283"/>
  <c r="E12" i="286"/>
  <c r="E39" i="262" l="1"/>
  <c r="E27" i="260" l="1"/>
  <c r="E33" i="260"/>
  <c r="G50" i="333" l="1"/>
  <c r="G15" i="333"/>
  <c r="G14" i="333"/>
  <c r="G13" i="333"/>
  <c r="G12" i="333"/>
  <c r="G11" i="333"/>
  <c r="G10" i="333"/>
  <c r="B6" i="333"/>
  <c r="G5" i="333"/>
  <c r="B3" i="333"/>
  <c r="E2" i="333"/>
  <c r="B2" i="333"/>
  <c r="G65" i="333" l="1"/>
  <c r="E29" i="285" l="1"/>
  <c r="D25" i="283"/>
  <c r="G25" i="283" s="1"/>
  <c r="G1" i="333"/>
  <c r="C65" i="333" s="1"/>
  <c r="G22" i="330" l="1"/>
  <c r="B6" i="291" l="1"/>
  <c r="G24" i="330" l="1"/>
  <c r="G17" i="330"/>
  <c r="G16" i="330"/>
  <c r="G32" i="330"/>
  <c r="G31" i="330"/>
  <c r="B50" i="330" l="1"/>
  <c r="G49" i="330"/>
  <c r="G48" i="330"/>
  <c r="G47" i="330"/>
  <c r="G46" i="330"/>
  <c r="G45" i="330"/>
  <c r="G44" i="330"/>
  <c r="G43" i="330"/>
  <c r="G42" i="330"/>
  <c r="G41" i="330"/>
  <c r="G40" i="330"/>
  <c r="G39" i="330"/>
  <c r="G38" i="330"/>
  <c r="G37" i="330"/>
  <c r="G36" i="330"/>
  <c r="G35" i="330"/>
  <c r="G34" i="330"/>
  <c r="G27" i="330"/>
  <c r="G19" i="330"/>
  <c r="G14" i="330"/>
  <c r="G12" i="330"/>
  <c r="G11" i="330"/>
  <c r="G10" i="330"/>
  <c r="B5" i="330"/>
  <c r="G4" i="330"/>
  <c r="B2" i="330"/>
  <c r="E1" i="330"/>
  <c r="B1" i="330"/>
  <c r="G50" i="330" l="1"/>
  <c r="E2" i="159"/>
  <c r="E17" i="228"/>
  <c r="E16" i="228"/>
  <c r="D37" i="283" l="1"/>
  <c r="G37" i="283" s="1"/>
  <c r="E38" i="285"/>
  <c r="B18" i="288"/>
  <c r="B16" i="288"/>
  <c r="E39" i="260"/>
  <c r="K131" i="329" l="1"/>
  <c r="B131" i="329"/>
  <c r="G113" i="329"/>
  <c r="G112" i="329"/>
  <c r="G111" i="329"/>
  <c r="G110" i="329"/>
  <c r="G109" i="329"/>
  <c r="G108" i="329"/>
  <c r="G107" i="329"/>
  <c r="G106" i="329"/>
  <c r="G105" i="329"/>
  <c r="G104" i="329"/>
  <c r="G103" i="329"/>
  <c r="G102" i="329"/>
  <c r="G101" i="329"/>
  <c r="G100" i="329"/>
  <c r="G99" i="329"/>
  <c r="G98" i="329"/>
  <c r="G97" i="329"/>
  <c r="G96" i="329"/>
  <c r="G95" i="329"/>
  <c r="G94" i="329"/>
  <c r="G93" i="329"/>
  <c r="G92" i="329"/>
  <c r="G91" i="329"/>
  <c r="G90" i="329"/>
  <c r="G89" i="329"/>
  <c r="G88" i="329"/>
  <c r="G87" i="329"/>
  <c r="G86" i="329"/>
  <c r="G85" i="329"/>
  <c r="G84" i="329"/>
  <c r="G83" i="329"/>
  <c r="G82" i="329"/>
  <c r="G81" i="329"/>
  <c r="G80" i="329"/>
  <c r="G79" i="329"/>
  <c r="G78" i="329"/>
  <c r="G77" i="329"/>
  <c r="G76" i="329"/>
  <c r="G75" i="329"/>
  <c r="G74" i="329"/>
  <c r="G73" i="329"/>
  <c r="B67" i="329"/>
  <c r="B64" i="329"/>
  <c r="E63" i="329"/>
  <c r="B63" i="329"/>
  <c r="K61" i="329"/>
  <c r="B61" i="329"/>
  <c r="G57" i="329"/>
  <c r="G56" i="329"/>
  <c r="G55" i="329"/>
  <c r="G54" i="329"/>
  <c r="G53" i="329"/>
  <c r="G52" i="329"/>
  <c r="G51" i="329"/>
  <c r="G50" i="329"/>
  <c r="G49" i="329"/>
  <c r="G48" i="329"/>
  <c r="G47" i="329"/>
  <c r="G46" i="329"/>
  <c r="G45" i="329"/>
  <c r="G44" i="329"/>
  <c r="G43" i="329"/>
  <c r="G42" i="329"/>
  <c r="G41" i="329"/>
  <c r="G40" i="329"/>
  <c r="K39" i="329"/>
  <c r="J39" i="329"/>
  <c r="G39" i="329"/>
  <c r="K38" i="329"/>
  <c r="G38" i="329"/>
  <c r="J37" i="329"/>
  <c r="K37" i="329" s="1"/>
  <c r="G37" i="329"/>
  <c r="K36" i="329"/>
  <c r="G36" i="329"/>
  <c r="K35" i="329"/>
  <c r="G35" i="329"/>
  <c r="K34" i="329"/>
  <c r="G34" i="329"/>
  <c r="G33" i="329"/>
  <c r="G32" i="329"/>
  <c r="G31" i="329"/>
  <c r="G30" i="329"/>
  <c r="G29" i="329"/>
  <c r="G28" i="329"/>
  <c r="J27" i="329"/>
  <c r="K27" i="329" s="1"/>
  <c r="G27" i="329"/>
  <c r="J25" i="329"/>
  <c r="K25" i="329" s="1"/>
  <c r="G25" i="329"/>
  <c r="K24" i="329"/>
  <c r="G24" i="329"/>
  <c r="K23" i="329"/>
  <c r="G23" i="329"/>
  <c r="K22" i="329"/>
  <c r="G22" i="329"/>
  <c r="K21" i="329"/>
  <c r="G21" i="329"/>
  <c r="K20" i="329"/>
  <c r="G20" i="329"/>
  <c r="G19" i="329"/>
  <c r="G17" i="329"/>
  <c r="K16" i="329"/>
  <c r="G16" i="329"/>
  <c r="K15" i="329"/>
  <c r="G15" i="329"/>
  <c r="K14" i="329"/>
  <c r="G14" i="329"/>
  <c r="K13" i="329"/>
  <c r="G13" i="329"/>
  <c r="G12" i="329"/>
  <c r="G11" i="329"/>
  <c r="G10" i="329"/>
  <c r="B6" i="329"/>
  <c r="G5" i="329"/>
  <c r="B3" i="329"/>
  <c r="E2" i="329"/>
  <c r="B2" i="329"/>
  <c r="K129" i="328"/>
  <c r="B129" i="328"/>
  <c r="K128" i="328"/>
  <c r="G128" i="328"/>
  <c r="G127" i="328"/>
  <c r="K126" i="328"/>
  <c r="G126" i="328"/>
  <c r="G125" i="328"/>
  <c r="K124" i="328"/>
  <c r="G124" i="328"/>
  <c r="K123" i="328"/>
  <c r="G123" i="328"/>
  <c r="K122" i="328"/>
  <c r="G122" i="328"/>
  <c r="K121" i="328"/>
  <c r="G121" i="328"/>
  <c r="K120" i="328"/>
  <c r="G120" i="328"/>
  <c r="K119" i="328"/>
  <c r="G119" i="328"/>
  <c r="G118" i="328"/>
  <c r="K117" i="328"/>
  <c r="G117" i="328"/>
  <c r="G116" i="328"/>
  <c r="K115" i="328"/>
  <c r="G115" i="328"/>
  <c r="K114" i="328"/>
  <c r="G114" i="328"/>
  <c r="K113" i="328"/>
  <c r="G113" i="328"/>
  <c r="K112" i="328"/>
  <c r="G112" i="328"/>
  <c r="G110" i="328"/>
  <c r="G109" i="328"/>
  <c r="G108" i="328"/>
  <c r="G107" i="328"/>
  <c r="G106" i="328"/>
  <c r="G105" i="328"/>
  <c r="G104" i="328"/>
  <c r="G103" i="328"/>
  <c r="G102" i="328"/>
  <c r="G101" i="328"/>
  <c r="G100" i="328"/>
  <c r="G99" i="328"/>
  <c r="G98" i="328"/>
  <c r="G97" i="328"/>
  <c r="G96" i="328"/>
  <c r="G95" i="328"/>
  <c r="G94" i="328"/>
  <c r="G93" i="328"/>
  <c r="G92" i="328"/>
  <c r="G91" i="328"/>
  <c r="G90" i="328"/>
  <c r="G89" i="328"/>
  <c r="G88" i="328"/>
  <c r="G87" i="328"/>
  <c r="G86" i="328"/>
  <c r="G85" i="328"/>
  <c r="G84" i="328"/>
  <c r="G83" i="328"/>
  <c r="G82" i="328"/>
  <c r="G81" i="328"/>
  <c r="G80" i="328"/>
  <c r="G79" i="328"/>
  <c r="G78" i="328"/>
  <c r="G77" i="328"/>
  <c r="G76" i="328"/>
  <c r="B70" i="328"/>
  <c r="B67" i="328"/>
  <c r="E66" i="328"/>
  <c r="B66" i="328"/>
  <c r="G63" i="328"/>
  <c r="G62" i="328"/>
  <c r="G61" i="328"/>
  <c r="G60" i="328"/>
  <c r="G59" i="328"/>
  <c r="G58" i="328"/>
  <c r="G57" i="328"/>
  <c r="G56" i="328"/>
  <c r="G55" i="328"/>
  <c r="G54" i="328"/>
  <c r="G53" i="328"/>
  <c r="G52" i="328"/>
  <c r="G51" i="328"/>
  <c r="G50" i="328"/>
  <c r="G49" i="328"/>
  <c r="G48" i="328"/>
  <c r="G47" i="328"/>
  <c r="G46" i="328"/>
  <c r="G45" i="328"/>
  <c r="G44" i="328"/>
  <c r="G43" i="328"/>
  <c r="G42" i="328"/>
  <c r="G41" i="328"/>
  <c r="G40" i="328"/>
  <c r="G39" i="328"/>
  <c r="G38" i="328"/>
  <c r="G37" i="328"/>
  <c r="G36" i="328"/>
  <c r="G35" i="328"/>
  <c r="G34" i="328"/>
  <c r="G33" i="328"/>
  <c r="G32" i="328"/>
  <c r="G31" i="328"/>
  <c r="G30" i="328"/>
  <c r="G29" i="328"/>
  <c r="G28" i="328"/>
  <c r="G27" i="328"/>
  <c r="G26" i="328"/>
  <c r="G25" i="328"/>
  <c r="G24" i="328"/>
  <c r="G23" i="328"/>
  <c r="G22" i="328"/>
  <c r="G21" i="328"/>
  <c r="G20" i="328"/>
  <c r="G19" i="328"/>
  <c r="G18" i="328"/>
  <c r="G17" i="328"/>
  <c r="G16" i="328"/>
  <c r="G11" i="328"/>
  <c r="G10" i="328"/>
  <c r="B6" i="328"/>
  <c r="G5" i="328"/>
  <c r="G69" i="328" s="1"/>
  <c r="B3" i="328"/>
  <c r="E2" i="328"/>
  <c r="B2" i="328"/>
  <c r="B49" i="327"/>
  <c r="G48" i="327"/>
  <c r="G44" i="327"/>
  <c r="G43" i="327"/>
  <c r="G42" i="327"/>
  <c r="G41" i="327"/>
  <c r="G40" i="327"/>
  <c r="G39" i="327"/>
  <c r="G38" i="327"/>
  <c r="G37" i="327"/>
  <c r="G36" i="327"/>
  <c r="G35" i="327"/>
  <c r="G34" i="327"/>
  <c r="G32" i="327"/>
  <c r="G31" i="327"/>
  <c r="G30" i="327"/>
  <c r="G29" i="327"/>
  <c r="G28" i="327"/>
  <c r="K27" i="327"/>
  <c r="G27" i="327"/>
  <c r="G26" i="327"/>
  <c r="K25" i="327"/>
  <c r="G25" i="327"/>
  <c r="K24" i="327"/>
  <c r="G24" i="327"/>
  <c r="K22" i="327"/>
  <c r="G22" i="327"/>
  <c r="G21" i="327"/>
  <c r="G20" i="327"/>
  <c r="G19" i="327"/>
  <c r="K18" i="327"/>
  <c r="G17" i="327"/>
  <c r="K16" i="327"/>
  <c r="G16" i="327"/>
  <c r="G15" i="327"/>
  <c r="K14" i="327"/>
  <c r="G14" i="327"/>
  <c r="K13" i="327"/>
  <c r="G13" i="327"/>
  <c r="G12" i="327"/>
  <c r="G11" i="327"/>
  <c r="G10" i="327"/>
  <c r="B6" i="327"/>
  <c r="G5" i="327"/>
  <c r="B3" i="327"/>
  <c r="E2" i="327"/>
  <c r="B2" i="327"/>
  <c r="G15" i="314"/>
  <c r="G16" i="314"/>
  <c r="G17" i="314"/>
  <c r="G18" i="314"/>
  <c r="G19" i="314"/>
  <c r="G20" i="314"/>
  <c r="G17" i="294"/>
  <c r="G18" i="294"/>
  <c r="G19" i="294"/>
  <c r="G20" i="294"/>
  <c r="G21" i="294"/>
  <c r="G22" i="294"/>
  <c r="G23" i="294"/>
  <c r="G24" i="294"/>
  <c r="G25" i="294"/>
  <c r="G26" i="294"/>
  <c r="G27" i="294"/>
  <c r="G28" i="294"/>
  <c r="G29" i="294"/>
  <c r="G30" i="294"/>
  <c r="G31" i="294"/>
  <c r="G32" i="294"/>
  <c r="G33" i="294"/>
  <c r="G34" i="294"/>
  <c r="G35" i="294"/>
  <c r="G36" i="294"/>
  <c r="G37" i="294"/>
  <c r="G38" i="294"/>
  <c r="G39" i="294"/>
  <c r="G40" i="294"/>
  <c r="G41" i="294"/>
  <c r="G42" i="294"/>
  <c r="G43" i="294"/>
  <c r="G44" i="294"/>
  <c r="G45" i="294"/>
  <c r="G46" i="294"/>
  <c r="G47" i="294"/>
  <c r="G48" i="294"/>
  <c r="G49" i="294"/>
  <c r="G50" i="294"/>
  <c r="G61" i="329" l="1"/>
  <c r="G71" i="329" s="1"/>
  <c r="G131" i="329" s="1"/>
  <c r="D17" i="283" s="1"/>
  <c r="G65" i="328"/>
  <c r="G74" i="328" s="1"/>
  <c r="G129" i="328" s="1"/>
  <c r="D15" i="283" s="1"/>
  <c r="G49" i="327"/>
  <c r="E16" i="285" s="1"/>
  <c r="G1" i="327"/>
  <c r="C49" i="327" s="1"/>
  <c r="G1" i="328" l="1"/>
  <c r="C129" i="328" s="1"/>
  <c r="G1" i="329"/>
  <c r="C61" i="329" s="1"/>
  <c r="C131" i="329" l="1"/>
  <c r="C19" i="228" l="1"/>
  <c r="C16" i="283" l="1"/>
  <c r="G26" i="247"/>
  <c r="G27" i="247"/>
  <c r="G28" i="247"/>
  <c r="G29" i="247"/>
  <c r="G30" i="247"/>
  <c r="G26" i="325"/>
  <c r="G27" i="325"/>
  <c r="G28" i="325"/>
  <c r="G29" i="325"/>
  <c r="G20" i="325"/>
  <c r="G21" i="325"/>
  <c r="G20" i="247"/>
  <c r="G21" i="247"/>
  <c r="B94" i="325"/>
  <c r="K93" i="325"/>
  <c r="G93" i="325"/>
  <c r="G89" i="325"/>
  <c r="G88" i="325"/>
  <c r="G87" i="325"/>
  <c r="J86" i="325"/>
  <c r="K86" i="325" s="1"/>
  <c r="G86" i="325"/>
  <c r="K85" i="325"/>
  <c r="G85" i="325"/>
  <c r="K84" i="325"/>
  <c r="G84" i="325"/>
  <c r="K83" i="325"/>
  <c r="G83" i="325"/>
  <c r="K82" i="325"/>
  <c r="K81" i="325"/>
  <c r="G81" i="325"/>
  <c r="K80" i="325"/>
  <c r="G80" i="325"/>
  <c r="K79" i="325"/>
  <c r="G79" i="325"/>
  <c r="K78" i="325"/>
  <c r="G78" i="325"/>
  <c r="K77" i="325"/>
  <c r="G77" i="325"/>
  <c r="K76" i="325"/>
  <c r="G76" i="325"/>
  <c r="K75" i="325"/>
  <c r="G75" i="325"/>
  <c r="K74" i="325"/>
  <c r="G74" i="325"/>
  <c r="K73" i="325"/>
  <c r="G73" i="325"/>
  <c r="K72" i="325"/>
  <c r="G72" i="325"/>
  <c r="K71" i="325"/>
  <c r="G71" i="325"/>
  <c r="K70" i="325"/>
  <c r="G70" i="325"/>
  <c r="G69" i="325"/>
  <c r="G68" i="325"/>
  <c r="G67" i="325"/>
  <c r="G66" i="325"/>
  <c r="G65" i="325"/>
  <c r="G64" i="325"/>
  <c r="G63" i="325"/>
  <c r="G62" i="325"/>
  <c r="G61" i="325"/>
  <c r="G60" i="325"/>
  <c r="G59" i="325"/>
  <c r="G58" i="325"/>
  <c r="G57" i="325"/>
  <c r="G56" i="325"/>
  <c r="G55" i="325"/>
  <c r="G54" i="325"/>
  <c r="G53" i="325"/>
  <c r="J47" i="325"/>
  <c r="K47" i="325" s="1"/>
  <c r="G47" i="325"/>
  <c r="K46" i="325"/>
  <c r="G46" i="325"/>
  <c r="J45" i="325"/>
  <c r="K45" i="325" s="1"/>
  <c r="G45" i="325"/>
  <c r="K44" i="325"/>
  <c r="G44" i="325"/>
  <c r="J43" i="325"/>
  <c r="K43" i="325" s="1"/>
  <c r="G43" i="325"/>
  <c r="G41" i="325"/>
  <c r="G40" i="325"/>
  <c r="G39" i="325"/>
  <c r="G38" i="325"/>
  <c r="G37" i="325"/>
  <c r="G36" i="325"/>
  <c r="G35" i="325"/>
  <c r="K34" i="325"/>
  <c r="G34" i="325"/>
  <c r="J33" i="325"/>
  <c r="K33" i="325" s="1"/>
  <c r="G33" i="325"/>
  <c r="K32" i="325"/>
  <c r="K31" i="325"/>
  <c r="G31" i="325"/>
  <c r="K30" i="325"/>
  <c r="G30" i="325"/>
  <c r="J25" i="325"/>
  <c r="K25" i="325" s="1"/>
  <c r="G25" i="325"/>
  <c r="K24" i="325"/>
  <c r="G24" i="325"/>
  <c r="K23" i="325"/>
  <c r="G23" i="325"/>
  <c r="K22" i="325"/>
  <c r="G22" i="325"/>
  <c r="J19" i="325"/>
  <c r="K19" i="325" s="1"/>
  <c r="G19" i="325"/>
  <c r="K18" i="325"/>
  <c r="G18" i="325"/>
  <c r="J17" i="325"/>
  <c r="K17" i="325" s="1"/>
  <c r="G17" i="325"/>
  <c r="K16" i="325"/>
  <c r="G16" i="325"/>
  <c r="K15" i="325"/>
  <c r="G15" i="325"/>
  <c r="K14" i="325"/>
  <c r="K13" i="325"/>
  <c r="G12" i="325"/>
  <c r="G11" i="325"/>
  <c r="G10" i="325"/>
  <c r="B6" i="325"/>
  <c r="G5" i="325"/>
  <c r="B3" i="325"/>
  <c r="E2" i="325"/>
  <c r="B2" i="325"/>
  <c r="C34" i="283"/>
  <c r="C31" i="283"/>
  <c r="C28" i="283"/>
  <c r="G116" i="324"/>
  <c r="G115" i="324"/>
  <c r="G114" i="324"/>
  <c r="G113" i="324"/>
  <c r="G110" i="324"/>
  <c r="G109" i="324"/>
  <c r="G108" i="324"/>
  <c r="G107" i="324"/>
  <c r="G106" i="324"/>
  <c r="G105" i="324"/>
  <c r="G104" i="324"/>
  <c r="G103" i="324"/>
  <c r="G101" i="324"/>
  <c r="G100" i="324"/>
  <c r="G99" i="324"/>
  <c r="G98" i="324"/>
  <c r="G97" i="324"/>
  <c r="G96" i="324"/>
  <c r="G95" i="324"/>
  <c r="G94" i="324"/>
  <c r="G93" i="324"/>
  <c r="G92" i="324"/>
  <c r="G91" i="324"/>
  <c r="G90" i="324"/>
  <c r="G89" i="324"/>
  <c r="G88" i="324"/>
  <c r="G87" i="324"/>
  <c r="G86" i="324"/>
  <c r="G85" i="324"/>
  <c r="G84" i="324"/>
  <c r="G83" i="324"/>
  <c r="G82" i="324"/>
  <c r="G81" i="324"/>
  <c r="G80" i="324"/>
  <c r="G79" i="324"/>
  <c r="B71" i="324"/>
  <c r="B68" i="324"/>
  <c r="E67" i="324"/>
  <c r="B67" i="324"/>
  <c r="B66" i="324"/>
  <c r="B117" i="324" s="1"/>
  <c r="K65" i="324"/>
  <c r="G65" i="324"/>
  <c r="G59" i="324"/>
  <c r="G58" i="324"/>
  <c r="G57" i="324"/>
  <c r="G56" i="324"/>
  <c r="G55" i="324"/>
  <c r="G54" i="324"/>
  <c r="G53" i="324"/>
  <c r="G52" i="324"/>
  <c r="G51" i="324"/>
  <c r="G50" i="324"/>
  <c r="J49" i="324"/>
  <c r="K49" i="324" s="1"/>
  <c r="G49" i="324"/>
  <c r="K48" i="324"/>
  <c r="G48" i="324"/>
  <c r="J47" i="324"/>
  <c r="K47" i="324" s="1"/>
  <c r="G47" i="324"/>
  <c r="K46" i="324"/>
  <c r="G46" i="324"/>
  <c r="K45" i="324"/>
  <c r="G45" i="324"/>
  <c r="K44" i="324"/>
  <c r="G43" i="324"/>
  <c r="G42" i="324"/>
  <c r="J41" i="324"/>
  <c r="K41" i="324" s="1"/>
  <c r="G41" i="324"/>
  <c r="K40" i="324"/>
  <c r="G40" i="324"/>
  <c r="K39" i="324"/>
  <c r="G39" i="324"/>
  <c r="K38" i="324"/>
  <c r="G38" i="324"/>
  <c r="J37" i="324"/>
  <c r="K37" i="324" s="1"/>
  <c r="G37" i="324"/>
  <c r="K36" i="324"/>
  <c r="K35" i="324"/>
  <c r="G35" i="324"/>
  <c r="K34" i="324"/>
  <c r="G34" i="324"/>
  <c r="J33" i="324"/>
  <c r="K33" i="324" s="1"/>
  <c r="G33" i="324"/>
  <c r="K32" i="324"/>
  <c r="G32" i="324"/>
  <c r="J31" i="324"/>
  <c r="K31" i="324" s="1"/>
  <c r="G31" i="324"/>
  <c r="K30" i="324"/>
  <c r="G30" i="324"/>
  <c r="J29" i="324"/>
  <c r="K29" i="324" s="1"/>
  <c r="G29" i="324"/>
  <c r="K28" i="324"/>
  <c r="G28" i="324"/>
  <c r="G27" i="324"/>
  <c r="G26" i="324"/>
  <c r="G25" i="324"/>
  <c r="G24" i="324"/>
  <c r="J23" i="324"/>
  <c r="K23" i="324" s="1"/>
  <c r="G23" i="324"/>
  <c r="K22" i="324"/>
  <c r="G22" i="324"/>
  <c r="K21" i="324"/>
  <c r="K20" i="324"/>
  <c r="J19" i="324"/>
  <c r="K19" i="324" s="1"/>
  <c r="G19" i="324"/>
  <c r="P18" i="324"/>
  <c r="K18" i="324"/>
  <c r="G18" i="324"/>
  <c r="J17" i="324"/>
  <c r="K17" i="324" s="1"/>
  <c r="G17" i="324"/>
  <c r="K16" i="324"/>
  <c r="G16" i="324"/>
  <c r="K15" i="324"/>
  <c r="G15" i="324"/>
  <c r="K14" i="324"/>
  <c r="G14" i="324"/>
  <c r="K13" i="324"/>
  <c r="G13" i="324"/>
  <c r="G10" i="324"/>
  <c r="B6" i="324"/>
  <c r="G5" i="324"/>
  <c r="G70" i="324" s="1"/>
  <c r="B3" i="324"/>
  <c r="E2" i="324"/>
  <c r="B2" i="324"/>
  <c r="B60" i="322"/>
  <c r="G56" i="322"/>
  <c r="G55" i="322"/>
  <c r="G54" i="322"/>
  <c r="G53" i="322"/>
  <c r="K49" i="322"/>
  <c r="K48" i="322"/>
  <c r="K46" i="322"/>
  <c r="K45" i="322"/>
  <c r="K44" i="322"/>
  <c r="G44" i="322"/>
  <c r="K43" i="322"/>
  <c r="G43" i="322"/>
  <c r="G42" i="322"/>
  <c r="K41" i="322"/>
  <c r="G41" i="322"/>
  <c r="K40" i="322"/>
  <c r="G40" i="322"/>
  <c r="J39" i="322"/>
  <c r="K39" i="322" s="1"/>
  <c r="G39" i="322"/>
  <c r="K38" i="322"/>
  <c r="G38" i="322"/>
  <c r="K37" i="322"/>
  <c r="G37" i="322"/>
  <c r="K36" i="322"/>
  <c r="G36" i="322"/>
  <c r="J35" i="322"/>
  <c r="K35" i="322" s="1"/>
  <c r="G35" i="322"/>
  <c r="K34" i="322"/>
  <c r="G34" i="322"/>
  <c r="K33" i="322"/>
  <c r="G33" i="322"/>
  <c r="K32" i="322"/>
  <c r="G32" i="322"/>
  <c r="K31" i="322"/>
  <c r="G31" i="322"/>
  <c r="K30" i="322"/>
  <c r="G30" i="322"/>
  <c r="G29" i="322"/>
  <c r="K28" i="322"/>
  <c r="G28" i="322"/>
  <c r="G27" i="322"/>
  <c r="K26" i="322"/>
  <c r="G26" i="322"/>
  <c r="G25" i="322"/>
  <c r="K24" i="322"/>
  <c r="G24" i="322"/>
  <c r="K23" i="322"/>
  <c r="G23" i="322"/>
  <c r="K22" i="322"/>
  <c r="G22" i="322"/>
  <c r="K21" i="322"/>
  <c r="G21" i="322"/>
  <c r="K20" i="322"/>
  <c r="G20" i="322"/>
  <c r="K19" i="322"/>
  <c r="G19" i="322"/>
  <c r="K18" i="322"/>
  <c r="G18" i="322"/>
  <c r="G17" i="322"/>
  <c r="K16" i="322"/>
  <c r="G16" i="322"/>
  <c r="K15" i="322"/>
  <c r="G15" i="322"/>
  <c r="K14" i="322"/>
  <c r="G14" i="322"/>
  <c r="K13" i="322"/>
  <c r="G13" i="322"/>
  <c r="G12" i="322"/>
  <c r="G11" i="322"/>
  <c r="G10" i="322"/>
  <c r="B6" i="322"/>
  <c r="G5" i="322"/>
  <c r="B3" i="322"/>
  <c r="E2" i="322"/>
  <c r="B2" i="322"/>
  <c r="K138" i="321"/>
  <c r="B138" i="321"/>
  <c r="G120" i="321"/>
  <c r="G119" i="321"/>
  <c r="G118" i="321"/>
  <c r="G117" i="321"/>
  <c r="G116" i="321"/>
  <c r="G115" i="321"/>
  <c r="G114" i="321"/>
  <c r="G113" i="321"/>
  <c r="G112" i="321"/>
  <c r="G111" i="321"/>
  <c r="G110" i="321"/>
  <c r="G109" i="321"/>
  <c r="G108" i="321"/>
  <c r="G107" i="321"/>
  <c r="G106" i="321"/>
  <c r="G105" i="321"/>
  <c r="G104" i="321"/>
  <c r="G103" i="321"/>
  <c r="G102" i="321"/>
  <c r="G101" i="321"/>
  <c r="G100" i="321"/>
  <c r="G99" i="321"/>
  <c r="G98" i="321"/>
  <c r="G97" i="321"/>
  <c r="G96" i="321"/>
  <c r="G95" i="321"/>
  <c r="G94" i="321"/>
  <c r="G93" i="321"/>
  <c r="G92" i="321"/>
  <c r="G91" i="321"/>
  <c r="G90" i="321"/>
  <c r="G89" i="321"/>
  <c r="G88" i="321"/>
  <c r="G87" i="321"/>
  <c r="G86" i="321"/>
  <c r="G85" i="321"/>
  <c r="G84" i="321"/>
  <c r="G83" i="321"/>
  <c r="G82" i="321"/>
  <c r="G81" i="321"/>
  <c r="G80" i="321"/>
  <c r="G79" i="321"/>
  <c r="G78" i="321"/>
  <c r="G77" i="321"/>
  <c r="G76" i="321"/>
  <c r="G75" i="321"/>
  <c r="G74" i="321"/>
  <c r="G73" i="321"/>
  <c r="B67" i="321"/>
  <c r="B64" i="321"/>
  <c r="E63" i="321"/>
  <c r="B63" i="321"/>
  <c r="K61" i="321"/>
  <c r="B61" i="321"/>
  <c r="G57" i="321"/>
  <c r="G56" i="321"/>
  <c r="G55" i="321"/>
  <c r="G54" i="321"/>
  <c r="G53" i="321"/>
  <c r="G52" i="321"/>
  <c r="G51" i="321"/>
  <c r="G50" i="321"/>
  <c r="G49" i="321"/>
  <c r="G48" i="321"/>
  <c r="G47" i="321"/>
  <c r="G46" i="321"/>
  <c r="G45" i="321"/>
  <c r="G44" i="321"/>
  <c r="G43" i="321"/>
  <c r="G42" i="321"/>
  <c r="G41" i="321"/>
  <c r="G40" i="321"/>
  <c r="J39" i="321"/>
  <c r="K39" i="321" s="1"/>
  <c r="G39" i="321"/>
  <c r="K38" i="321"/>
  <c r="G38" i="321"/>
  <c r="J37" i="321"/>
  <c r="K37" i="321" s="1"/>
  <c r="G37" i="321"/>
  <c r="K36" i="321"/>
  <c r="G36" i="321"/>
  <c r="K35" i="321"/>
  <c r="G35" i="321"/>
  <c r="K34" i="321"/>
  <c r="G34" i="321"/>
  <c r="G33" i="321"/>
  <c r="G32" i="321"/>
  <c r="G31" i="321"/>
  <c r="G30" i="321"/>
  <c r="G29" i="321"/>
  <c r="G28" i="321"/>
  <c r="J27" i="321"/>
  <c r="K27" i="321" s="1"/>
  <c r="G27" i="321"/>
  <c r="J25" i="321"/>
  <c r="K25" i="321" s="1"/>
  <c r="G25" i="321"/>
  <c r="K24" i="321"/>
  <c r="G24" i="321"/>
  <c r="K23" i="321"/>
  <c r="G23" i="321"/>
  <c r="K22" i="321"/>
  <c r="G22" i="321"/>
  <c r="K21" i="321"/>
  <c r="G21" i="321"/>
  <c r="K20" i="321"/>
  <c r="G20" i="321"/>
  <c r="G19" i="321"/>
  <c r="G17" i="321"/>
  <c r="K16" i="321"/>
  <c r="G16" i="321"/>
  <c r="K15" i="321"/>
  <c r="G15" i="321"/>
  <c r="K14" i="321"/>
  <c r="G14" i="321"/>
  <c r="K13" i="321"/>
  <c r="G13" i="321"/>
  <c r="G12" i="321"/>
  <c r="G11" i="321"/>
  <c r="G10" i="321"/>
  <c r="B6" i="321"/>
  <c r="G5" i="321"/>
  <c r="B3" i="321"/>
  <c r="E2" i="321"/>
  <c r="B2" i="321"/>
  <c r="G15" i="291"/>
  <c r="G16" i="291"/>
  <c r="G17" i="291"/>
  <c r="G19" i="291"/>
  <c r="G20" i="291"/>
  <c r="G21" i="291"/>
  <c r="G22" i="291"/>
  <c r="G24" i="291"/>
  <c r="G25" i="291"/>
  <c r="G26" i="291"/>
  <c r="G27" i="291"/>
  <c r="G28" i="291"/>
  <c r="G29" i="291"/>
  <c r="G30" i="291"/>
  <c r="G31" i="291"/>
  <c r="G32" i="291"/>
  <c r="G34" i="291"/>
  <c r="G35" i="291"/>
  <c r="G36" i="291"/>
  <c r="G37" i="291"/>
  <c r="G38" i="291"/>
  <c r="G39" i="291"/>
  <c r="G40" i="291"/>
  <c r="G41" i="291"/>
  <c r="G42" i="291"/>
  <c r="G43" i="291"/>
  <c r="G44" i="291"/>
  <c r="C38" i="283"/>
  <c r="C21" i="283"/>
  <c r="C20" i="283"/>
  <c r="C19" i="283"/>
  <c r="C18" i="283"/>
  <c r="D39" i="285"/>
  <c r="D37" i="285" s="1"/>
  <c r="D36" i="285" s="1"/>
  <c r="D35" i="285" s="1"/>
  <c r="D34" i="285" s="1"/>
  <c r="D33" i="285" s="1"/>
  <c r="D32" i="285" s="1"/>
  <c r="D31" i="285" s="1"/>
  <c r="D30" i="285" s="1"/>
  <c r="D28" i="285" s="1"/>
  <c r="D27" i="285" s="1"/>
  <c r="D26" i="285" s="1"/>
  <c r="D25" i="285" s="1"/>
  <c r="D24" i="285" s="1"/>
  <c r="D23" i="285" s="1"/>
  <c r="D22" i="285" s="1"/>
  <c r="D21" i="285" s="1"/>
  <c r="D20" i="285" s="1"/>
  <c r="D19" i="285" s="1"/>
  <c r="D18" i="285" s="1"/>
  <c r="D17" i="285" s="1"/>
  <c r="D16" i="285" s="1"/>
  <c r="D15" i="285" s="1"/>
  <c r="D14" i="285" s="1"/>
  <c r="D13" i="285" s="1"/>
  <c r="C37" i="285"/>
  <c r="C22" i="285"/>
  <c r="F12" i="319"/>
  <c r="F13" i="319"/>
  <c r="F14" i="319"/>
  <c r="F15" i="319"/>
  <c r="F16" i="319"/>
  <c r="F17" i="319"/>
  <c r="F18" i="319"/>
  <c r="F19" i="319"/>
  <c r="F20" i="319"/>
  <c r="F21" i="319"/>
  <c r="F22" i="319"/>
  <c r="F23" i="319"/>
  <c r="F24" i="319"/>
  <c r="F25" i="319"/>
  <c r="F26" i="319"/>
  <c r="F27" i="319"/>
  <c r="F11" i="319"/>
  <c r="F10" i="319"/>
  <c r="F9" i="319"/>
  <c r="A5" i="319"/>
  <c r="F4" i="319"/>
  <c r="A2" i="319"/>
  <c r="D1" i="319"/>
  <c r="A1" i="319"/>
  <c r="B63" i="315"/>
  <c r="K62" i="315"/>
  <c r="G62" i="315"/>
  <c r="K61" i="315"/>
  <c r="K60" i="315"/>
  <c r="K59" i="315"/>
  <c r="K58" i="315"/>
  <c r="K57" i="315"/>
  <c r="G57" i="315"/>
  <c r="K56" i="315"/>
  <c r="G56" i="315"/>
  <c r="K55" i="315"/>
  <c r="G55" i="315"/>
  <c r="K54" i="315"/>
  <c r="G54" i="315"/>
  <c r="K53" i="315"/>
  <c r="G53" i="315"/>
  <c r="K52" i="315"/>
  <c r="G52" i="315"/>
  <c r="K51" i="315"/>
  <c r="G51" i="315"/>
  <c r="J50" i="315"/>
  <c r="K50" i="315" s="1"/>
  <c r="G50" i="315"/>
  <c r="K49" i="315"/>
  <c r="G49" i="315"/>
  <c r="J48" i="315"/>
  <c r="K48" i="315" s="1"/>
  <c r="G48" i="315"/>
  <c r="K47" i="315"/>
  <c r="G47" i="315"/>
  <c r="K46" i="315"/>
  <c r="G46" i="315"/>
  <c r="K45" i="315"/>
  <c r="G45" i="315"/>
  <c r="K44" i="315"/>
  <c r="G44" i="315"/>
  <c r="K43" i="315"/>
  <c r="G43" i="315"/>
  <c r="K42" i="315"/>
  <c r="G42" i="315"/>
  <c r="K41" i="315"/>
  <c r="G41" i="315"/>
  <c r="K40" i="315"/>
  <c r="G40" i="315"/>
  <c r="K39" i="315"/>
  <c r="G39" i="315"/>
  <c r="K38" i="315"/>
  <c r="G38" i="315"/>
  <c r="K37" i="315"/>
  <c r="G37" i="315"/>
  <c r="K36" i="315"/>
  <c r="G36" i="315"/>
  <c r="K35" i="315"/>
  <c r="G35" i="315"/>
  <c r="K34" i="315"/>
  <c r="G34" i="315"/>
  <c r="K33" i="315"/>
  <c r="G33" i="315"/>
  <c r="K32" i="315"/>
  <c r="G32" i="315"/>
  <c r="K31" i="315"/>
  <c r="K30" i="315"/>
  <c r="G30" i="315"/>
  <c r="K29" i="315"/>
  <c r="G29" i="315"/>
  <c r="K28" i="315"/>
  <c r="G28" i="315"/>
  <c r="K27" i="315"/>
  <c r="G27" i="315"/>
  <c r="K26" i="315"/>
  <c r="G26" i="315"/>
  <c r="K25" i="315"/>
  <c r="G25" i="315"/>
  <c r="K24" i="315"/>
  <c r="G24" i="315"/>
  <c r="K23" i="315"/>
  <c r="G23" i="315"/>
  <c r="K22" i="315"/>
  <c r="G22" i="315"/>
  <c r="K21" i="315"/>
  <c r="G21" i="315"/>
  <c r="K20" i="315"/>
  <c r="G20" i="315"/>
  <c r="K19" i="315"/>
  <c r="K17" i="315"/>
  <c r="G17" i="315"/>
  <c r="K15" i="315"/>
  <c r="G15" i="315"/>
  <c r="K14" i="315"/>
  <c r="G14" i="315"/>
  <c r="K13" i="315"/>
  <c r="G13" i="315"/>
  <c r="G12" i="315"/>
  <c r="G11" i="315"/>
  <c r="B6" i="315"/>
  <c r="G5" i="315"/>
  <c r="B3" i="315"/>
  <c r="E2" i="315"/>
  <c r="B2" i="315"/>
  <c r="G60" i="322" l="1"/>
  <c r="K66" i="324"/>
  <c r="G66" i="324"/>
  <c r="G75" i="324" s="1"/>
  <c r="G61" i="321"/>
  <c r="G71" i="321" s="1"/>
  <c r="G138" i="321" s="1"/>
  <c r="K2" i="324"/>
  <c r="G94" i="325"/>
  <c r="D34" i="283" s="1"/>
  <c r="K94" i="325"/>
  <c r="K2" i="325" s="1"/>
  <c r="F63" i="319"/>
  <c r="E22" i="285" s="1"/>
  <c r="D18" i="283" s="1"/>
  <c r="G18" i="283" s="1"/>
  <c r="G63" i="315"/>
  <c r="K63" i="315"/>
  <c r="K2" i="315"/>
  <c r="D28" i="283" l="1"/>
  <c r="G28" i="283" s="1"/>
  <c r="G1" i="322"/>
  <c r="E21" i="285"/>
  <c r="G17" i="283"/>
  <c r="G117" i="324"/>
  <c r="G1" i="325"/>
  <c r="G34" i="283"/>
  <c r="G1" i="321"/>
  <c r="C61" i="321" s="1"/>
  <c r="G1" i="315"/>
  <c r="E39" i="285"/>
  <c r="D38" i="283" s="1"/>
  <c r="G38" i="283" s="1"/>
  <c r="B62" i="159"/>
  <c r="B59" i="159"/>
  <c r="E58" i="159"/>
  <c r="B58" i="159"/>
  <c r="G68" i="159"/>
  <c r="G69" i="159"/>
  <c r="D31" i="283" l="1"/>
  <c r="G31" i="283" s="1"/>
  <c r="G1" i="324"/>
  <c r="C66" i="324" s="1"/>
  <c r="C138" i="321"/>
  <c r="G39" i="308"/>
  <c r="G40" i="308"/>
  <c r="B70" i="208"/>
  <c r="B67" i="208"/>
  <c r="E66" i="208"/>
  <c r="B66" i="208"/>
  <c r="C40" i="285"/>
  <c r="C35" i="285"/>
  <c r="C34" i="285"/>
  <c r="C33" i="285"/>
  <c r="C32" i="285"/>
  <c r="C29" i="283" s="1"/>
  <c r="C31" i="285"/>
  <c r="C30" i="285"/>
  <c r="G32" i="159"/>
  <c r="G33" i="159"/>
  <c r="G34" i="159"/>
  <c r="G35" i="159"/>
  <c r="G36" i="159"/>
  <c r="G37" i="159"/>
  <c r="G38" i="159"/>
  <c r="G39" i="159"/>
  <c r="G40" i="159"/>
  <c r="G41" i="159"/>
  <c r="G86" i="247"/>
  <c r="G87" i="247"/>
  <c r="G88" i="247"/>
  <c r="G34" i="247"/>
  <c r="G35" i="247"/>
  <c r="G36" i="247"/>
  <c r="G37" i="247"/>
  <c r="G38" i="247"/>
  <c r="G39" i="247"/>
  <c r="G40" i="247"/>
  <c r="G74" i="246" l="1"/>
  <c r="G75" i="246"/>
  <c r="G76" i="246"/>
  <c r="G77" i="246"/>
  <c r="G78" i="246"/>
  <c r="G79" i="246"/>
  <c r="G80" i="246"/>
  <c r="G81" i="246"/>
  <c r="G72" i="246"/>
  <c r="G73" i="246"/>
  <c r="G42" i="246"/>
  <c r="G38" i="246"/>
  <c r="G39" i="246"/>
  <c r="G40" i="246"/>
  <c r="G41" i="246"/>
  <c r="G108" i="244"/>
  <c r="G109" i="244"/>
  <c r="G110" i="244"/>
  <c r="G111" i="244"/>
  <c r="G112" i="244"/>
  <c r="G113" i="244"/>
  <c r="G114" i="244"/>
  <c r="G106" i="244"/>
  <c r="G107" i="244"/>
  <c r="G86" i="244" l="1"/>
  <c r="G87" i="244"/>
  <c r="G88" i="244"/>
  <c r="G89" i="244"/>
  <c r="G79" i="244"/>
  <c r="G80" i="244"/>
  <c r="G81" i="244"/>
  <c r="G82" i="244"/>
  <c r="G83" i="244"/>
  <c r="G84" i="244"/>
  <c r="G85" i="244"/>
  <c r="G90" i="244"/>
  <c r="G91" i="244"/>
  <c r="G92" i="244"/>
  <c r="G50" i="244"/>
  <c r="G51" i="244"/>
  <c r="G52" i="244"/>
  <c r="G53" i="244"/>
  <c r="G54" i="244"/>
  <c r="G42" i="244"/>
  <c r="G43" i="244"/>
  <c r="B83" i="314" l="1"/>
  <c r="G79" i="314"/>
  <c r="G78" i="314"/>
  <c r="K72" i="314"/>
  <c r="K71" i="314"/>
  <c r="K57" i="314"/>
  <c r="K56" i="314"/>
  <c r="K55" i="314"/>
  <c r="K40" i="314"/>
  <c r="K38" i="314"/>
  <c r="K37" i="314"/>
  <c r="J36" i="314"/>
  <c r="K36" i="314" s="1"/>
  <c r="K35" i="314"/>
  <c r="K34" i="314"/>
  <c r="K33" i="314"/>
  <c r="J32" i="314"/>
  <c r="K32" i="314" s="1"/>
  <c r="K31" i="314"/>
  <c r="K30" i="314"/>
  <c r="K29" i="314"/>
  <c r="K28" i="314"/>
  <c r="K27" i="314"/>
  <c r="K25" i="314"/>
  <c r="K23" i="314"/>
  <c r="K21" i="314"/>
  <c r="K20" i="314"/>
  <c r="K19" i="314"/>
  <c r="K18" i="314"/>
  <c r="K17" i="314"/>
  <c r="K16" i="314"/>
  <c r="K15" i="314"/>
  <c r="G14" i="314"/>
  <c r="K13" i="314"/>
  <c r="G13" i="314"/>
  <c r="G12" i="314"/>
  <c r="G11" i="314"/>
  <c r="G10" i="314"/>
  <c r="B6" i="314"/>
  <c r="G5" i="314"/>
  <c r="B3" i="314"/>
  <c r="E2" i="314"/>
  <c r="B2" i="314"/>
  <c r="G32" i="241"/>
  <c r="G33" i="241"/>
  <c r="G34" i="241"/>
  <c r="G35" i="241"/>
  <c r="G36" i="241"/>
  <c r="G37" i="241"/>
  <c r="G26" i="241"/>
  <c r="G27" i="241"/>
  <c r="G28" i="241"/>
  <c r="G29" i="241"/>
  <c r="G83" i="314" l="1"/>
  <c r="E32" i="285" s="1"/>
  <c r="D29" i="283" s="1"/>
  <c r="G29" i="283" s="1"/>
  <c r="G1" i="314" l="1"/>
  <c r="G123" i="171"/>
  <c r="G124" i="171"/>
  <c r="G125" i="171"/>
  <c r="G126" i="171"/>
  <c r="G127" i="171"/>
  <c r="G128" i="171"/>
  <c r="G129" i="171"/>
  <c r="G130" i="171"/>
  <c r="G131" i="171"/>
  <c r="G132" i="171"/>
  <c r="G133" i="171"/>
  <c r="G134" i="171"/>
  <c r="G93" i="171"/>
  <c r="G94" i="171"/>
  <c r="G95" i="171"/>
  <c r="G96" i="171"/>
  <c r="G98" i="171"/>
  <c r="G100" i="171"/>
  <c r="G102" i="171"/>
  <c r="G16" i="193"/>
  <c r="G17" i="193"/>
  <c r="G16" i="304"/>
  <c r="G17" i="304"/>
  <c r="F25" i="310"/>
  <c r="F26" i="310"/>
  <c r="F16" i="310"/>
  <c r="F17" i="310"/>
  <c r="F18" i="310"/>
  <c r="F19" i="310"/>
  <c r="F20" i="310"/>
  <c r="F21" i="310"/>
  <c r="F22" i="310"/>
  <c r="F24" i="310"/>
  <c r="G78" i="308"/>
  <c r="G79" i="308"/>
  <c r="G80" i="308"/>
  <c r="G81" i="308"/>
  <c r="G82" i="308"/>
  <c r="G83" i="308"/>
  <c r="G84" i="308"/>
  <c r="G85" i="308"/>
  <c r="G86" i="308"/>
  <c r="G87" i="308"/>
  <c r="G88" i="308"/>
  <c r="G89" i="308"/>
  <c r="G90" i="308"/>
  <c r="G91" i="308"/>
  <c r="G92" i="308"/>
  <c r="G93" i="308"/>
  <c r="G94" i="308"/>
  <c r="G95" i="308"/>
  <c r="G76" i="308"/>
  <c r="G77" i="308"/>
  <c r="G69" i="308"/>
  <c r="G70" i="308"/>
  <c r="G71" i="308"/>
  <c r="G47" i="308"/>
  <c r="G48" i="308"/>
  <c r="G44" i="208"/>
  <c r="G45" i="208"/>
  <c r="G46" i="208"/>
  <c r="G47" i="208"/>
  <c r="G48" i="208"/>
  <c r="G49" i="208"/>
  <c r="G50" i="208"/>
  <c r="G51" i="208"/>
  <c r="G52" i="208"/>
  <c r="G53" i="208"/>
  <c r="G54" i="208"/>
  <c r="G55" i="208"/>
  <c r="G56" i="208"/>
  <c r="G57" i="208"/>
  <c r="G58" i="208"/>
  <c r="G59" i="208"/>
  <c r="G60" i="208"/>
  <c r="G61" i="208"/>
  <c r="G62" i="208"/>
  <c r="G63" i="208"/>
  <c r="G76" i="208"/>
  <c r="G77" i="208"/>
  <c r="G78" i="208"/>
  <c r="G79" i="208"/>
  <c r="G80" i="208"/>
  <c r="G81" i="208"/>
  <c r="G82" i="208"/>
  <c r="G83" i="208"/>
  <c r="G84" i="208"/>
  <c r="G85" i="208"/>
  <c r="G86" i="208"/>
  <c r="G87" i="208"/>
  <c r="G88" i="208"/>
  <c r="G89" i="208"/>
  <c r="G90" i="208"/>
  <c r="G91" i="208"/>
  <c r="G92" i="208"/>
  <c r="G93" i="208"/>
  <c r="G94" i="208"/>
  <c r="G95" i="208"/>
  <c r="G96" i="208"/>
  <c r="G97" i="208"/>
  <c r="G98" i="208"/>
  <c r="G99" i="208"/>
  <c r="G100" i="208"/>
  <c r="G101" i="208"/>
  <c r="G102" i="208"/>
  <c r="G103" i="208"/>
  <c r="G104" i="208"/>
  <c r="G105" i="208"/>
  <c r="G106" i="208"/>
  <c r="G107" i="208"/>
  <c r="G108" i="208"/>
  <c r="G109" i="208"/>
  <c r="G110" i="208"/>
  <c r="G36" i="208"/>
  <c r="G37" i="208"/>
  <c r="G38" i="208"/>
  <c r="G39" i="208"/>
  <c r="G40" i="208"/>
  <c r="G41" i="208"/>
  <c r="G42" i="208"/>
  <c r="G43" i="208"/>
  <c r="G23" i="208"/>
  <c r="G24" i="208"/>
  <c r="G25" i="208"/>
  <c r="G26" i="208"/>
  <c r="G27" i="208"/>
  <c r="G28" i="208"/>
  <c r="G29" i="208"/>
  <c r="G30" i="208"/>
  <c r="G31" i="208"/>
  <c r="G32" i="208"/>
  <c r="G33" i="208"/>
  <c r="G34" i="208"/>
  <c r="G35" i="208"/>
  <c r="G17" i="208"/>
  <c r="G18" i="208"/>
  <c r="G16" i="208"/>
  <c r="G19" i="208"/>
  <c r="G20" i="208"/>
  <c r="G21" i="208"/>
  <c r="B65" i="312"/>
  <c r="G59" i="312"/>
  <c r="G58" i="312"/>
  <c r="G57" i="312"/>
  <c r="G56" i="312"/>
  <c r="G55" i="312"/>
  <c r="G54" i="312"/>
  <c r="G53" i="312"/>
  <c r="G52" i="312"/>
  <c r="G51" i="312"/>
  <c r="G50" i="312"/>
  <c r="G49" i="312"/>
  <c r="G48" i="312"/>
  <c r="G47" i="312"/>
  <c r="G46" i="312"/>
  <c r="G45" i="312"/>
  <c r="G44" i="312"/>
  <c r="G43" i="312"/>
  <c r="G42" i="312"/>
  <c r="G41" i="312"/>
  <c r="G40" i="312"/>
  <c r="G39" i="312"/>
  <c r="G38" i="312"/>
  <c r="G37" i="312"/>
  <c r="G36" i="312"/>
  <c r="G35" i="312"/>
  <c r="G22" i="312"/>
  <c r="K21" i="312"/>
  <c r="K20" i="312"/>
  <c r="G20" i="312"/>
  <c r="G19" i="312"/>
  <c r="K18" i="312"/>
  <c r="G18" i="312"/>
  <c r="J17" i="312"/>
  <c r="K17" i="312" s="1"/>
  <c r="G17" i="312"/>
  <c r="G16" i="312"/>
  <c r="J15" i="312"/>
  <c r="K15" i="312" s="1"/>
  <c r="G15" i="312"/>
  <c r="G14" i="312"/>
  <c r="G13" i="312"/>
  <c r="G12" i="312"/>
  <c r="G11" i="312"/>
  <c r="G10" i="312"/>
  <c r="B6" i="312"/>
  <c r="G5" i="312"/>
  <c r="B3" i="312"/>
  <c r="E2" i="312"/>
  <c r="B2" i="312"/>
  <c r="G49" i="163"/>
  <c r="G50" i="163"/>
  <c r="G51" i="163"/>
  <c r="G52" i="163"/>
  <c r="G38" i="163"/>
  <c r="G39" i="163"/>
  <c r="G40" i="163"/>
  <c r="G29" i="163"/>
  <c r="G30" i="163"/>
  <c r="G31" i="163"/>
  <c r="G32" i="163"/>
  <c r="G33" i="163"/>
  <c r="G34" i="163"/>
  <c r="G112" i="159"/>
  <c r="G108" i="159"/>
  <c r="G106" i="159"/>
  <c r="G104" i="159"/>
  <c r="G100" i="159"/>
  <c r="G98" i="159"/>
  <c r="G96" i="159"/>
  <c r="G94" i="159"/>
  <c r="G92" i="159"/>
  <c r="G90" i="159"/>
  <c r="G86" i="159"/>
  <c r="G84" i="159"/>
  <c r="G82" i="159"/>
  <c r="G80" i="159"/>
  <c r="G78" i="159"/>
  <c r="A5" i="310"/>
  <c r="D1" i="310"/>
  <c r="A63" i="310"/>
  <c r="F14" i="310"/>
  <c r="F13" i="310"/>
  <c r="F12" i="310"/>
  <c r="F11" i="310"/>
  <c r="F10" i="310"/>
  <c r="F9" i="310"/>
  <c r="F4" i="310"/>
  <c r="A2" i="310"/>
  <c r="A1" i="310"/>
  <c r="G65" i="312" l="1"/>
  <c r="E18" i="285" s="1"/>
  <c r="G1" i="312"/>
  <c r="C65" i="312" s="1"/>
  <c r="F63" i="310"/>
  <c r="E23" i="285" s="1"/>
  <c r="D19" i="283" s="1"/>
  <c r="G19" i="283" s="1"/>
  <c r="C19" i="285" l="1"/>
  <c r="B19" i="285"/>
  <c r="C16" i="285"/>
  <c r="B102" i="308"/>
  <c r="K101" i="308"/>
  <c r="K100" i="308"/>
  <c r="K99" i="308"/>
  <c r="G99" i="308"/>
  <c r="G98" i="308"/>
  <c r="G97" i="308"/>
  <c r="K96" i="308"/>
  <c r="G96" i="308"/>
  <c r="K95" i="308"/>
  <c r="K76" i="308"/>
  <c r="J75" i="308"/>
  <c r="K75" i="308" s="1"/>
  <c r="G75" i="308"/>
  <c r="K74" i="308"/>
  <c r="G74" i="308"/>
  <c r="K73" i="308"/>
  <c r="G73" i="308"/>
  <c r="J68" i="308"/>
  <c r="K68" i="308" s="1"/>
  <c r="G68" i="308"/>
  <c r="K67" i="308"/>
  <c r="G67" i="308"/>
  <c r="K66" i="308"/>
  <c r="G66" i="308"/>
  <c r="K65" i="308"/>
  <c r="K64" i="308"/>
  <c r="K63" i="308"/>
  <c r="K62" i="308"/>
  <c r="K61" i="308"/>
  <c r="K60" i="308"/>
  <c r="B60" i="308"/>
  <c r="K59" i="308"/>
  <c r="K58" i="308"/>
  <c r="K57" i="308"/>
  <c r="B57" i="308"/>
  <c r="K56" i="308"/>
  <c r="E56" i="308"/>
  <c r="B56" i="308"/>
  <c r="K55" i="308"/>
  <c r="B55" i="308"/>
  <c r="J54" i="308"/>
  <c r="K54" i="308" s="1"/>
  <c r="G54" i="308"/>
  <c r="K53" i="308"/>
  <c r="G53" i="308"/>
  <c r="G52" i="308"/>
  <c r="K51" i="308"/>
  <c r="G51" i="308"/>
  <c r="K50" i="308"/>
  <c r="G50" i="308"/>
  <c r="J46" i="308"/>
  <c r="K46" i="308" s="1"/>
  <c r="G46" i="308"/>
  <c r="K45" i="308"/>
  <c r="G45" i="308"/>
  <c r="J44" i="308"/>
  <c r="K44" i="308" s="1"/>
  <c r="G44" i="308"/>
  <c r="K43" i="308"/>
  <c r="G43" i="308"/>
  <c r="K42" i="308"/>
  <c r="G42" i="308"/>
  <c r="J38" i="308"/>
  <c r="K38" i="308" s="1"/>
  <c r="G38" i="308"/>
  <c r="K37" i="308"/>
  <c r="G37" i="308"/>
  <c r="J36" i="308"/>
  <c r="K36" i="308" s="1"/>
  <c r="G36" i="308"/>
  <c r="K35" i="308"/>
  <c r="G35" i="308"/>
  <c r="K34" i="308"/>
  <c r="G34" i="308"/>
  <c r="K33" i="308"/>
  <c r="G33" i="308"/>
  <c r="K32" i="308"/>
  <c r="G32" i="308"/>
  <c r="K31" i="308"/>
  <c r="G31" i="308"/>
  <c r="G30" i="308"/>
  <c r="K29" i="308"/>
  <c r="K28" i="308"/>
  <c r="G28" i="308"/>
  <c r="K27" i="308"/>
  <c r="G27" i="308"/>
  <c r="G26" i="308"/>
  <c r="K25" i="308"/>
  <c r="G25" i="308"/>
  <c r="K24" i="308"/>
  <c r="G24" i="308"/>
  <c r="K23" i="308"/>
  <c r="G23" i="308"/>
  <c r="G22" i="308"/>
  <c r="K21" i="308"/>
  <c r="G21" i="308"/>
  <c r="G20" i="308"/>
  <c r="K19" i="308"/>
  <c r="G19" i="308"/>
  <c r="J18" i="308"/>
  <c r="K18" i="308" s="1"/>
  <c r="G18" i="308"/>
  <c r="K17" i="308"/>
  <c r="G17" i="308"/>
  <c r="J16" i="308"/>
  <c r="K16" i="308" s="1"/>
  <c r="G16" i="308"/>
  <c r="K15" i="308"/>
  <c r="G15" i="308"/>
  <c r="K14" i="308"/>
  <c r="G14" i="308"/>
  <c r="K13" i="308"/>
  <c r="G13" i="308"/>
  <c r="K12" i="308"/>
  <c r="G12" i="308"/>
  <c r="G11" i="308"/>
  <c r="G10" i="308"/>
  <c r="B6" i="308"/>
  <c r="G5" i="308"/>
  <c r="G59" i="308" s="1"/>
  <c r="B3" i="308"/>
  <c r="E2" i="308"/>
  <c r="B2" i="308"/>
  <c r="G52" i="247"/>
  <c r="G53" i="247"/>
  <c r="G54" i="247"/>
  <c r="G55" i="247"/>
  <c r="G56" i="247"/>
  <c r="G57" i="247"/>
  <c r="G58" i="247"/>
  <c r="G59" i="247"/>
  <c r="G60" i="247"/>
  <c r="G61" i="247"/>
  <c r="G63" i="247"/>
  <c r="G65" i="247"/>
  <c r="G66" i="247"/>
  <c r="G67" i="247"/>
  <c r="G68" i="247"/>
  <c r="G64" i="247"/>
  <c r="G62" i="247"/>
  <c r="G55" i="308" l="1"/>
  <c r="G64" i="308" s="1"/>
  <c r="G102" i="308" s="1"/>
  <c r="G1" i="308" s="1"/>
  <c r="K102" i="308"/>
  <c r="C102" i="308" l="1"/>
  <c r="E20" i="285"/>
  <c r="B73" i="307"/>
  <c r="G72" i="307"/>
  <c r="G71" i="307"/>
  <c r="G70" i="307"/>
  <c r="G69" i="307"/>
  <c r="G68" i="307"/>
  <c r="G67" i="307"/>
  <c r="G66" i="307"/>
  <c r="G65" i="307"/>
  <c r="G64" i="307"/>
  <c r="G63" i="307"/>
  <c r="G62" i="307"/>
  <c r="G61" i="307"/>
  <c r="G60" i="307"/>
  <c r="G59" i="307"/>
  <c r="G58" i="307"/>
  <c r="G56" i="307"/>
  <c r="G55" i="307"/>
  <c r="G54" i="307"/>
  <c r="G53" i="307"/>
  <c r="G52" i="307"/>
  <c r="G51" i="307"/>
  <c r="G50" i="307"/>
  <c r="G49" i="307"/>
  <c r="G48" i="307"/>
  <c r="G47" i="307"/>
  <c r="K46" i="307"/>
  <c r="G46" i="307"/>
  <c r="K45" i="307"/>
  <c r="G45" i="307"/>
  <c r="K44" i="307"/>
  <c r="G44" i="307"/>
  <c r="K43" i="307"/>
  <c r="G43" i="307"/>
  <c r="K42" i="307"/>
  <c r="G42" i="307"/>
  <c r="K41" i="307"/>
  <c r="G41" i="307"/>
  <c r="K40" i="307"/>
  <c r="G40" i="307"/>
  <c r="K39" i="307"/>
  <c r="G39" i="307"/>
  <c r="K38" i="307"/>
  <c r="G38" i="307"/>
  <c r="K37" i="307"/>
  <c r="G37" i="307"/>
  <c r="K36" i="307"/>
  <c r="G36" i="307"/>
  <c r="K35" i="307"/>
  <c r="G35" i="307"/>
  <c r="K34" i="307"/>
  <c r="G34" i="307"/>
  <c r="J33" i="307"/>
  <c r="K33" i="307" s="1"/>
  <c r="G33" i="307"/>
  <c r="K32" i="307"/>
  <c r="G32" i="307"/>
  <c r="J31" i="307"/>
  <c r="K31" i="307" s="1"/>
  <c r="G31" i="307"/>
  <c r="K30" i="307"/>
  <c r="G30" i="307"/>
  <c r="K29" i="307"/>
  <c r="G29" i="307"/>
  <c r="K28" i="307"/>
  <c r="G28" i="307"/>
  <c r="K27" i="307"/>
  <c r="G27" i="307"/>
  <c r="K26" i="307"/>
  <c r="G26" i="307"/>
  <c r="K25" i="307"/>
  <c r="J25" i="307"/>
  <c r="G25" i="307"/>
  <c r="K24" i="307"/>
  <c r="G24" i="307"/>
  <c r="K23" i="307"/>
  <c r="G23" i="307"/>
  <c r="K22" i="307"/>
  <c r="K21" i="307"/>
  <c r="K20" i="307"/>
  <c r="K19" i="307"/>
  <c r="K18" i="307"/>
  <c r="K17" i="307"/>
  <c r="K16" i="307"/>
  <c r="J15" i="307"/>
  <c r="K15" i="307" s="1"/>
  <c r="G15" i="307"/>
  <c r="K14" i="307"/>
  <c r="G14" i="307"/>
  <c r="K13" i="307"/>
  <c r="G13" i="307"/>
  <c r="G12" i="307"/>
  <c r="G11" i="307"/>
  <c r="G10" i="307"/>
  <c r="B6" i="307"/>
  <c r="G5" i="307"/>
  <c r="B3" i="307"/>
  <c r="E2" i="307"/>
  <c r="B2" i="307"/>
  <c r="B66" i="305"/>
  <c r="G36" i="305"/>
  <c r="G16" i="305"/>
  <c r="G15" i="305"/>
  <c r="G14" i="305"/>
  <c r="G13" i="305"/>
  <c r="G12" i="305"/>
  <c r="G11" i="305"/>
  <c r="G10" i="305"/>
  <c r="B6" i="305"/>
  <c r="G5" i="305"/>
  <c r="B3" i="305"/>
  <c r="E2" i="305"/>
  <c r="B2" i="305"/>
  <c r="G19" i="304"/>
  <c r="J18" i="304"/>
  <c r="G18" i="304"/>
  <c r="G12" i="304"/>
  <c r="G11" i="304"/>
  <c r="G10" i="304"/>
  <c r="B6" i="304"/>
  <c r="G5" i="304"/>
  <c r="B3" i="304"/>
  <c r="E2" i="304"/>
  <c r="B2" i="304"/>
  <c r="G42" i="163"/>
  <c r="G43" i="163"/>
  <c r="G44" i="163"/>
  <c r="G45" i="163"/>
  <c r="G46" i="163"/>
  <c r="G66" i="305" l="1"/>
  <c r="G1" i="304"/>
  <c r="E24" i="285" s="1"/>
  <c r="D20" i="283" s="1"/>
  <c r="G20" i="283" s="1"/>
  <c r="K73" i="307"/>
  <c r="K2" i="307" s="1"/>
  <c r="G73" i="307"/>
  <c r="G1" i="307" s="1"/>
  <c r="G1" i="305"/>
  <c r="G25" i="304"/>
  <c r="G5" i="194"/>
  <c r="C25" i="304" l="1"/>
  <c r="E36" i="285"/>
  <c r="D35" i="283" s="1"/>
  <c r="G35" i="283" s="1"/>
  <c r="C73" i="307"/>
  <c r="E25" i="285"/>
  <c r="D21" i="283" s="1"/>
  <c r="G21" i="283" s="1"/>
  <c r="C66" i="305"/>
  <c r="C39" i="283"/>
  <c r="B39" i="283"/>
  <c r="G22" i="208"/>
  <c r="G14" i="294" l="1"/>
  <c r="G15" i="294"/>
  <c r="G16" i="294"/>
  <c r="C24" i="283"/>
  <c r="B24" i="283"/>
  <c r="C22" i="283"/>
  <c r="B22" i="283"/>
  <c r="C36" i="283"/>
  <c r="B36" i="283"/>
  <c r="C33" i="283"/>
  <c r="B33" i="283"/>
  <c r="C32" i="283"/>
  <c r="B32" i="283"/>
  <c r="C30" i="283"/>
  <c r="B30" i="283"/>
  <c r="C27" i="283"/>
  <c r="B27" i="283"/>
  <c r="C26" i="283"/>
  <c r="B26" i="283"/>
  <c r="C23" i="283"/>
  <c r="B23" i="283"/>
  <c r="C14" i="283"/>
  <c r="B14" i="283"/>
  <c r="C13" i="283"/>
  <c r="B13" i="283"/>
  <c r="C10" i="283"/>
  <c r="B10" i="283"/>
  <c r="C9" i="283"/>
  <c r="B9" i="283"/>
  <c r="C8" i="283"/>
  <c r="B8" i="283"/>
  <c r="G117" i="171"/>
  <c r="G81" i="171"/>
  <c r="G82" i="171"/>
  <c r="G83" i="171"/>
  <c r="G84" i="171"/>
  <c r="G85" i="171"/>
  <c r="G87" i="171"/>
  <c r="G89" i="171"/>
  <c r="G91" i="171"/>
  <c r="G104" i="171"/>
  <c r="G105" i="171"/>
  <c r="G107" i="171"/>
  <c r="G109" i="171"/>
  <c r="G111" i="171"/>
  <c r="E2" i="294" l="1"/>
  <c r="G13" i="294"/>
  <c r="G12" i="294"/>
  <c r="G11" i="294"/>
  <c r="G10" i="294"/>
  <c r="G65" i="294" s="1"/>
  <c r="B6" i="294"/>
  <c r="G5" i="294"/>
  <c r="B3" i="294"/>
  <c r="B2" i="294"/>
  <c r="G120" i="171" l="1"/>
  <c r="G118" i="171"/>
  <c r="G116" i="171"/>
  <c r="G92" i="171"/>
  <c r="G90" i="171"/>
  <c r="G88" i="171"/>
  <c r="G86" i="171"/>
  <c r="G112" i="171"/>
  <c r="G108" i="171"/>
  <c r="G96" i="246"/>
  <c r="G94" i="244"/>
  <c r="G95" i="244"/>
  <c r="G96" i="244"/>
  <c r="G97" i="244"/>
  <c r="G98" i="244"/>
  <c r="G99" i="244"/>
  <c r="G100" i="244"/>
  <c r="G101" i="244"/>
  <c r="G102" i="244"/>
  <c r="G103" i="244"/>
  <c r="G55" i="244"/>
  <c r="G56" i="244"/>
  <c r="G57" i="244"/>
  <c r="G58" i="244"/>
  <c r="G59" i="244"/>
  <c r="G65" i="244"/>
  <c r="G120" i="244"/>
  <c r="G119" i="244"/>
  <c r="G118" i="244"/>
  <c r="G117" i="244"/>
  <c r="G105" i="244"/>
  <c r="G93" i="244"/>
  <c r="B71" i="244"/>
  <c r="B68" i="244"/>
  <c r="E67" i="244"/>
  <c r="B67" i="244"/>
  <c r="G48" i="244"/>
  <c r="G49" i="244"/>
  <c r="G24" i="244"/>
  <c r="G25" i="244"/>
  <c r="G26" i="244"/>
  <c r="G27" i="244"/>
  <c r="G28" i="244"/>
  <c r="G5" i="193"/>
  <c r="G135" i="171"/>
  <c r="G119" i="171"/>
  <c r="G79" i="171"/>
  <c r="G77" i="171"/>
  <c r="G75" i="171"/>
  <c r="B70" i="171"/>
  <c r="B67" i="171"/>
  <c r="E66" i="171"/>
  <c r="B66" i="171"/>
  <c r="B46" i="291"/>
  <c r="G45" i="291"/>
  <c r="K27" i="291"/>
  <c r="K25" i="291"/>
  <c r="K24" i="291"/>
  <c r="K22" i="291"/>
  <c r="K18" i="291"/>
  <c r="K16" i="291"/>
  <c r="K14" i="291"/>
  <c r="G14" i="291"/>
  <c r="K13" i="291"/>
  <c r="G13" i="291"/>
  <c r="G12" i="291"/>
  <c r="G11" i="291"/>
  <c r="G10" i="291"/>
  <c r="G5" i="291"/>
  <c r="B3" i="291"/>
  <c r="E2" i="291"/>
  <c r="B2" i="291"/>
  <c r="G106" i="171" l="1"/>
  <c r="G78" i="171"/>
  <c r="G122" i="171"/>
  <c r="G76" i="171"/>
  <c r="G110" i="171"/>
  <c r="G80" i="171"/>
  <c r="G46" i="291"/>
  <c r="D12" i="283" l="1"/>
  <c r="G12" i="283" s="1"/>
  <c r="G1" i="291"/>
  <c r="C46" i="291" s="1"/>
  <c r="G11" i="283" l="1"/>
  <c r="G1" i="294"/>
  <c r="C65" i="294" l="1"/>
  <c r="E28" i="285"/>
  <c r="D24" i="283" s="1"/>
  <c r="G24" i="283" s="1"/>
  <c r="N28" i="163"/>
  <c r="E17" i="161"/>
  <c r="E72" i="159"/>
  <c r="E19" i="159"/>
  <c r="P18" i="244" l="1"/>
  <c r="G72" i="159" l="1"/>
  <c r="G71" i="159"/>
  <c r="G70" i="159"/>
  <c r="G29" i="159"/>
  <c r="E31" i="159" s="1"/>
  <c r="G31" i="159" s="1"/>
  <c r="G28" i="159"/>
  <c r="G21" i="159"/>
  <c r="G22" i="159"/>
  <c r="G23" i="159"/>
  <c r="E25" i="159" s="1"/>
  <c r="G25" i="159" s="1"/>
  <c r="G24" i="159"/>
  <c r="G114" i="159"/>
  <c r="B115" i="159"/>
  <c r="B5" i="283"/>
  <c r="L39" i="283" l="1"/>
  <c r="K47" i="194" l="1"/>
  <c r="K48" i="194"/>
  <c r="K49" i="194"/>
  <c r="K50" i="194"/>
  <c r="K51" i="194"/>
  <c r="K52" i="194"/>
  <c r="K53" i="194"/>
  <c r="K54" i="194"/>
  <c r="K55" i="194"/>
  <c r="K56" i="194"/>
  <c r="K57" i="194"/>
  <c r="K58" i="194"/>
  <c r="K59" i="194"/>
  <c r="K60" i="194"/>
  <c r="K61" i="194"/>
  <c r="K62" i="194"/>
  <c r="K63" i="194"/>
  <c r="K64" i="194"/>
  <c r="K65" i="194"/>
  <c r="K66" i="194"/>
  <c r="K67" i="194"/>
  <c r="K68" i="194"/>
  <c r="K69" i="194"/>
  <c r="K70" i="194"/>
  <c r="J21" i="193"/>
  <c r="J19" i="193"/>
  <c r="K43" i="193"/>
  <c r="K44" i="193"/>
  <c r="K45" i="193"/>
  <c r="K46" i="193"/>
  <c r="K47" i="193"/>
  <c r="K48" i="193"/>
  <c r="K50" i="193"/>
  <c r="K52" i="193"/>
  <c r="K54" i="193"/>
  <c r="K55" i="193"/>
  <c r="K56" i="193"/>
  <c r="K57" i="193"/>
  <c r="K58" i="193"/>
  <c r="K59" i="193"/>
  <c r="K60" i="193"/>
  <c r="J51" i="248"/>
  <c r="K51" i="248" s="1"/>
  <c r="J49" i="248"/>
  <c r="K47" i="248"/>
  <c r="K48" i="248"/>
  <c r="K49" i="248"/>
  <c r="K50" i="248"/>
  <c r="K52" i="248"/>
  <c r="K53" i="248"/>
  <c r="K54" i="248"/>
  <c r="K55" i="248"/>
  <c r="K56" i="248"/>
  <c r="K57" i="248"/>
  <c r="K58" i="248"/>
  <c r="K59" i="248"/>
  <c r="K60" i="248"/>
  <c r="K61" i="248"/>
  <c r="K62" i="248"/>
  <c r="K63" i="248"/>
  <c r="J85" i="247"/>
  <c r="K85" i="247" s="1"/>
  <c r="K83" i="247"/>
  <c r="J46" i="247"/>
  <c r="K46" i="247" s="1"/>
  <c r="J44" i="247"/>
  <c r="K44" i="247" s="1"/>
  <c r="J42" i="247"/>
  <c r="J33" i="247"/>
  <c r="J25" i="247"/>
  <c r="J19" i="247"/>
  <c r="J17" i="247"/>
  <c r="K81" i="247"/>
  <c r="K82" i="247"/>
  <c r="K84" i="247"/>
  <c r="K92" i="247"/>
  <c r="J95" i="246"/>
  <c r="K95" i="246" s="1"/>
  <c r="J91" i="246"/>
  <c r="K91" i="246" s="1"/>
  <c r="J89" i="246"/>
  <c r="K89" i="246" s="1"/>
  <c r="J87" i="246"/>
  <c r="K87" i="246" s="1"/>
  <c r="J50" i="246"/>
  <c r="K50" i="246" s="1"/>
  <c r="J48" i="246"/>
  <c r="K48" i="246" s="1"/>
  <c r="J37" i="246"/>
  <c r="J33" i="246"/>
  <c r="J29" i="246"/>
  <c r="J25" i="246"/>
  <c r="J19" i="246"/>
  <c r="J21" i="246"/>
  <c r="J17" i="246"/>
  <c r="K44" i="246"/>
  <c r="K45" i="246"/>
  <c r="K46" i="246"/>
  <c r="K47" i="246"/>
  <c r="K49" i="246"/>
  <c r="K52" i="246"/>
  <c r="K53" i="246"/>
  <c r="K54" i="246"/>
  <c r="K55" i="246"/>
  <c r="K56" i="246"/>
  <c r="K57" i="246"/>
  <c r="K58" i="246"/>
  <c r="K59" i="246"/>
  <c r="K60" i="246"/>
  <c r="K61" i="246"/>
  <c r="K62" i="246"/>
  <c r="K63" i="246"/>
  <c r="K64" i="246"/>
  <c r="K66" i="246"/>
  <c r="K68" i="246"/>
  <c r="K70" i="246"/>
  <c r="K71" i="246"/>
  <c r="K72" i="246"/>
  <c r="K83" i="246"/>
  <c r="K84" i="246"/>
  <c r="K85" i="246"/>
  <c r="K86" i="246"/>
  <c r="K88" i="246"/>
  <c r="K90" i="246"/>
  <c r="K92" i="246"/>
  <c r="K93" i="246"/>
  <c r="K94" i="246"/>
  <c r="K96" i="246"/>
  <c r="K98" i="246"/>
  <c r="K99" i="246"/>
  <c r="K100" i="246"/>
  <c r="K101" i="246"/>
  <c r="K102" i="246"/>
  <c r="K103" i="246"/>
  <c r="K104" i="246"/>
  <c r="K105" i="246"/>
  <c r="K106" i="246"/>
  <c r="K48" i="244"/>
  <c r="K65" i="244"/>
  <c r="J49" i="244"/>
  <c r="K49" i="244" s="1"/>
  <c r="J47" i="244"/>
  <c r="J41" i="244"/>
  <c r="J37" i="244"/>
  <c r="J33" i="244"/>
  <c r="J31" i="244"/>
  <c r="J29" i="244"/>
  <c r="J23" i="244"/>
  <c r="J19" i="244"/>
  <c r="J17" i="244"/>
  <c r="G37" i="244"/>
  <c r="K43" i="242"/>
  <c r="K44" i="242"/>
  <c r="K45" i="242"/>
  <c r="K46" i="242"/>
  <c r="K48" i="242"/>
  <c r="K49" i="242"/>
  <c r="J39" i="242"/>
  <c r="J35" i="242"/>
  <c r="K123" i="208" l="1"/>
  <c r="K124" i="208"/>
  <c r="K126" i="208"/>
  <c r="K128" i="208"/>
  <c r="K129" i="208"/>
  <c r="K122" i="208"/>
  <c r="K121" i="208"/>
  <c r="K120" i="208"/>
  <c r="K119" i="208"/>
  <c r="K117" i="208"/>
  <c r="K115" i="208"/>
  <c r="K114" i="208"/>
  <c r="K113" i="208"/>
  <c r="K112" i="208"/>
  <c r="K46" i="171"/>
  <c r="K45" i="171"/>
  <c r="K44" i="171"/>
  <c r="K43" i="171"/>
  <c r="K42" i="171"/>
  <c r="K41" i="171"/>
  <c r="K40" i="171"/>
  <c r="K13" i="171"/>
  <c r="K50" i="241"/>
  <c r="K49" i="241"/>
  <c r="K48" i="241"/>
  <c r="K47" i="241"/>
  <c r="K46" i="241"/>
  <c r="K45" i="241"/>
  <c r="K44" i="241"/>
  <c r="K43" i="241"/>
  <c r="K42" i="241"/>
  <c r="K41" i="241"/>
  <c r="K40" i="241"/>
  <c r="K39" i="241"/>
  <c r="K38" i="241"/>
  <c r="K37" i="241"/>
  <c r="K36" i="241"/>
  <c r="K35" i="241"/>
  <c r="K34" i="241"/>
  <c r="K33" i="241"/>
  <c r="K32" i="241"/>
  <c r="K30" i="241"/>
  <c r="K24" i="241"/>
  <c r="K22" i="241"/>
  <c r="K21" i="241"/>
  <c r="K20" i="241"/>
  <c r="K19" i="241"/>
  <c r="K18" i="241"/>
  <c r="K16" i="241"/>
  <c r="K14" i="241"/>
  <c r="K13" i="241"/>
  <c r="K41" i="242"/>
  <c r="K40" i="242"/>
  <c r="K39" i="242"/>
  <c r="K38" i="242"/>
  <c r="K37" i="242"/>
  <c r="K36" i="242"/>
  <c r="K35" i="242"/>
  <c r="K34" i="242"/>
  <c r="K33" i="242"/>
  <c r="K32" i="242"/>
  <c r="K31" i="242"/>
  <c r="K30" i="242"/>
  <c r="K28" i="242"/>
  <c r="K26" i="242"/>
  <c r="K24" i="242"/>
  <c r="K23" i="242"/>
  <c r="K22" i="242"/>
  <c r="K21" i="242"/>
  <c r="K20" i="242"/>
  <c r="K19" i="242"/>
  <c r="K18" i="242"/>
  <c r="K16" i="242"/>
  <c r="K15" i="242"/>
  <c r="K14" i="242"/>
  <c r="K13" i="242"/>
  <c r="K47" i="244"/>
  <c r="K46" i="244"/>
  <c r="K45" i="244"/>
  <c r="K44" i="244"/>
  <c r="K41" i="244"/>
  <c r="K40" i="244"/>
  <c r="K39" i="244"/>
  <c r="K38" i="244"/>
  <c r="K37" i="244"/>
  <c r="K36" i="244"/>
  <c r="K35" i="244"/>
  <c r="K34" i="244"/>
  <c r="K33" i="244"/>
  <c r="K32" i="244"/>
  <c r="K31" i="244"/>
  <c r="K30" i="244"/>
  <c r="K29" i="244"/>
  <c r="K28" i="244"/>
  <c r="K23" i="244"/>
  <c r="K22" i="244"/>
  <c r="K21" i="244"/>
  <c r="K20" i="244"/>
  <c r="K19" i="244"/>
  <c r="K18" i="244"/>
  <c r="K17" i="244"/>
  <c r="K16" i="244"/>
  <c r="K15" i="244"/>
  <c r="K14" i="244"/>
  <c r="K13" i="244"/>
  <c r="K38" i="246"/>
  <c r="K37" i="246"/>
  <c r="K36" i="246"/>
  <c r="K35" i="246"/>
  <c r="K34" i="246"/>
  <c r="K33" i="246"/>
  <c r="K32" i="246"/>
  <c r="K31" i="246"/>
  <c r="K30" i="246"/>
  <c r="K29" i="246"/>
  <c r="K28" i="246"/>
  <c r="K27" i="246"/>
  <c r="K26" i="246"/>
  <c r="K25" i="246"/>
  <c r="K24" i="246"/>
  <c r="K23" i="246"/>
  <c r="K22" i="246"/>
  <c r="K21" i="246"/>
  <c r="K20" i="246"/>
  <c r="K19" i="246"/>
  <c r="K18" i="246"/>
  <c r="K17" i="246"/>
  <c r="K16" i="246"/>
  <c r="K15" i="246"/>
  <c r="K14" i="246"/>
  <c r="K13" i="246"/>
  <c r="K80" i="247"/>
  <c r="K79" i="247"/>
  <c r="K78" i="247"/>
  <c r="K77" i="247"/>
  <c r="K76" i="247"/>
  <c r="K75" i="247"/>
  <c r="K74" i="247"/>
  <c r="K73" i="247"/>
  <c r="K72" i="247"/>
  <c r="K71" i="247"/>
  <c r="K70" i="247"/>
  <c r="K69" i="247"/>
  <c r="K45" i="247"/>
  <c r="K43" i="247"/>
  <c r="K42" i="247"/>
  <c r="K34" i="247"/>
  <c r="K33" i="247"/>
  <c r="K32" i="247"/>
  <c r="K31" i="247"/>
  <c r="K30" i="247"/>
  <c r="K25" i="247"/>
  <c r="K24" i="247"/>
  <c r="K23" i="247"/>
  <c r="K22" i="247"/>
  <c r="K19" i="247"/>
  <c r="K18" i="247"/>
  <c r="K17" i="247"/>
  <c r="K16" i="247"/>
  <c r="K15" i="247"/>
  <c r="K14" i="247"/>
  <c r="K13" i="247"/>
  <c r="K46" i="248"/>
  <c r="K45" i="248"/>
  <c r="K44" i="248"/>
  <c r="K43" i="248"/>
  <c r="K42" i="248"/>
  <c r="K41" i="248"/>
  <c r="K40" i="248"/>
  <c r="K39" i="248"/>
  <c r="K38" i="248"/>
  <c r="K37" i="248"/>
  <c r="K36" i="248"/>
  <c r="K35" i="248"/>
  <c r="K34" i="248"/>
  <c r="K33" i="248"/>
  <c r="K32" i="248"/>
  <c r="K31" i="248"/>
  <c r="K30" i="248"/>
  <c r="K29" i="248"/>
  <c r="K28" i="248"/>
  <c r="K27" i="248"/>
  <c r="K26" i="248"/>
  <c r="K25" i="248"/>
  <c r="K24" i="248"/>
  <c r="K22" i="248"/>
  <c r="K20" i="248"/>
  <c r="K19" i="248"/>
  <c r="K18" i="248"/>
  <c r="K17" i="248"/>
  <c r="K16" i="248"/>
  <c r="K15" i="248"/>
  <c r="K14" i="248"/>
  <c r="K13" i="248"/>
  <c r="K42" i="193"/>
  <c r="K41" i="193"/>
  <c r="K40" i="193"/>
  <c r="K38" i="193"/>
  <c r="K36" i="193"/>
  <c r="K35" i="193"/>
  <c r="K34" i="193"/>
  <c r="K33" i="193"/>
  <c r="K32" i="193"/>
  <c r="K31" i="193"/>
  <c r="K30" i="193"/>
  <c r="K28" i="193"/>
  <c r="K27" i="193"/>
  <c r="K25" i="193"/>
  <c r="K24" i="193"/>
  <c r="K23" i="193"/>
  <c r="K22" i="193"/>
  <c r="K21" i="193"/>
  <c r="K20" i="193"/>
  <c r="K19" i="193"/>
  <c r="K18" i="193"/>
  <c r="K15" i="193"/>
  <c r="K14" i="193"/>
  <c r="K13" i="193"/>
  <c r="K15" i="194"/>
  <c r="K14" i="194"/>
  <c r="K13" i="194"/>
  <c r="K18" i="165"/>
  <c r="K20" i="165"/>
  <c r="K21" i="165"/>
  <c r="J17" i="165"/>
  <c r="K17" i="165" s="1"/>
  <c r="J15" i="165"/>
  <c r="K15" i="165" s="1"/>
  <c r="J48" i="163"/>
  <c r="J24" i="163"/>
  <c r="K24" i="163" s="1"/>
  <c r="J22" i="163"/>
  <c r="K22" i="163" s="1"/>
  <c r="J20" i="163"/>
  <c r="K20" i="163" s="1"/>
  <c r="K21" i="163"/>
  <c r="K23" i="163"/>
  <c r="K25" i="163"/>
  <c r="K27" i="163"/>
  <c r="K47" i="163"/>
  <c r="K54" i="163"/>
  <c r="K55" i="163"/>
  <c r="K15" i="163"/>
  <c r="K16" i="163"/>
  <c r="K17" i="163"/>
  <c r="K18" i="163"/>
  <c r="K19" i="163"/>
  <c r="J14" i="163"/>
  <c r="J19" i="161"/>
  <c r="K19" i="161" s="1"/>
  <c r="K2" i="161" s="1"/>
  <c r="J19" i="312"/>
  <c r="K19" i="312" s="1"/>
  <c r="K65" i="312" s="1"/>
  <c r="K2" i="312" s="1"/>
  <c r="J16" i="283"/>
  <c r="J26" i="327" l="1"/>
  <c r="K26" i="327" s="1"/>
  <c r="J28" i="327"/>
  <c r="K28" i="327" s="1"/>
  <c r="J15" i="327" a="1"/>
  <c r="J15" i="327" s="1"/>
  <c r="K15" i="327" s="1"/>
  <c r="J17" i="327"/>
  <c r="K17" i="327" s="1"/>
  <c r="J39" i="314"/>
  <c r="K39" i="314" s="1"/>
  <c r="J42" i="322"/>
  <c r="K42" i="322" s="1"/>
  <c r="J19" i="165"/>
  <c r="K19" i="165" s="1"/>
  <c r="K65" i="165" s="1"/>
  <c r="J97" i="308"/>
  <c r="K97" i="308" s="1"/>
  <c r="J15" i="291" a="1"/>
  <c r="J15" i="291" s="1"/>
  <c r="K15" i="291" s="1"/>
  <c r="J28" i="291"/>
  <c r="K28" i="291" s="1"/>
  <c r="J17" i="291"/>
  <c r="K17" i="291" s="1"/>
  <c r="J26" i="291"/>
  <c r="K26" i="291" s="1"/>
  <c r="K93" i="247"/>
  <c r="K2" i="247" s="1"/>
  <c r="J32" i="283" s="1"/>
  <c r="L32" i="283" s="1"/>
  <c r="J29" i="283"/>
  <c r="L29" i="283" s="1"/>
  <c r="K66" i="244"/>
  <c r="K65" i="171"/>
  <c r="K2" i="171" s="1"/>
  <c r="J26" i="163"/>
  <c r="K26" i="163" s="1"/>
  <c r="J28" i="163"/>
  <c r="K28" i="163" s="1"/>
  <c r="J69" i="246"/>
  <c r="K69" i="246" s="1"/>
  <c r="J25" i="241"/>
  <c r="K25" i="241" s="1"/>
  <c r="J23" i="241"/>
  <c r="K23" i="241" s="1"/>
  <c r="J42" i="242"/>
  <c r="K42" i="242" s="1"/>
  <c r="K23" i="248"/>
  <c r="K21" i="248"/>
  <c r="K71" i="194"/>
  <c r="K2" i="194" s="1"/>
  <c r="J23" i="283"/>
  <c r="L23" i="283" s="1"/>
  <c r="J36" i="283"/>
  <c r="L36" i="283" s="1"/>
  <c r="K2" i="244"/>
  <c r="J27" i="283" s="1"/>
  <c r="K2" i="159"/>
  <c r="J8" i="283" s="1"/>
  <c r="J19" i="329" l="1"/>
  <c r="K19" i="329" s="1"/>
  <c r="J17" i="329"/>
  <c r="K17" i="329" s="1"/>
  <c r="K2" i="329" s="1"/>
  <c r="J116" i="328"/>
  <c r="K116" i="328" s="1"/>
  <c r="J118" i="328"/>
  <c r="K118" i="328" s="1"/>
  <c r="J125" i="328"/>
  <c r="K125" i="328" s="1"/>
  <c r="J127" i="328"/>
  <c r="K127" i="328" s="1"/>
  <c r="K49" i="327"/>
  <c r="K2" i="327" s="1"/>
  <c r="J50" i="322"/>
  <c r="K50" i="322" s="1"/>
  <c r="J25" i="322"/>
  <c r="K25" i="322" s="1"/>
  <c r="J29" i="322"/>
  <c r="K29" i="322" s="1"/>
  <c r="J27" i="322"/>
  <c r="K27" i="322" s="1"/>
  <c r="J17" i="322"/>
  <c r="K17" i="322" s="1"/>
  <c r="J70" i="314"/>
  <c r="K70" i="314" s="1"/>
  <c r="J47" i="322"/>
  <c r="K47" i="322" s="1"/>
  <c r="J19" i="321"/>
  <c r="K19" i="321" s="1"/>
  <c r="J17" i="321"/>
  <c r="K17" i="321" s="1"/>
  <c r="J52" i="308"/>
  <c r="K52" i="308" s="1"/>
  <c r="J73" i="314"/>
  <c r="K73" i="314" s="1"/>
  <c r="J22" i="314"/>
  <c r="K22" i="314" s="1"/>
  <c r="J26" i="314"/>
  <c r="K26" i="314" s="1"/>
  <c r="J14" i="314"/>
  <c r="K14" i="314" s="1"/>
  <c r="J24" i="314"/>
  <c r="K24" i="314" s="1"/>
  <c r="J30" i="308"/>
  <c r="K30" i="308" s="1"/>
  <c r="J26" i="308"/>
  <c r="K26" i="308" s="1"/>
  <c r="J20" i="308"/>
  <c r="K20" i="308" s="1"/>
  <c r="J22" i="308"/>
  <c r="K22" i="308" s="1"/>
  <c r="K46" i="291"/>
  <c r="K2" i="291" s="1"/>
  <c r="K64" i="248"/>
  <c r="K2" i="248" s="1"/>
  <c r="K2" i="165"/>
  <c r="J11" i="283" s="1"/>
  <c r="J67" i="246"/>
  <c r="K67" i="246" s="1"/>
  <c r="J39" i="193"/>
  <c r="K39" i="193" s="1"/>
  <c r="J47" i="242"/>
  <c r="K47" i="242" s="1"/>
  <c r="J40" i="283"/>
  <c r="J37" i="193"/>
  <c r="K37" i="193" s="1"/>
  <c r="J49" i="193"/>
  <c r="K49" i="193" s="1"/>
  <c r="J127" i="208"/>
  <c r="K127" i="208" s="1"/>
  <c r="J125" i="208"/>
  <c r="K125" i="208" s="1"/>
  <c r="J13" i="283"/>
  <c r="J53" i="193"/>
  <c r="K53" i="193" s="1"/>
  <c r="J50" i="242"/>
  <c r="K50" i="242" s="1"/>
  <c r="J31" i="241"/>
  <c r="K31" i="241" s="1"/>
  <c r="J51" i="193"/>
  <c r="K51" i="193" s="1"/>
  <c r="J25" i="242"/>
  <c r="K25" i="242" s="1"/>
  <c r="J17" i="242"/>
  <c r="K17" i="242" s="1"/>
  <c r="J65" i="246"/>
  <c r="K65" i="246" s="1"/>
  <c r="J29" i="193"/>
  <c r="K29" i="193" s="1"/>
  <c r="J27" i="242"/>
  <c r="K27" i="242" s="1"/>
  <c r="J17" i="241"/>
  <c r="K17" i="241" s="1"/>
  <c r="J29" i="242"/>
  <c r="K29" i="242" s="1"/>
  <c r="J15" i="241"/>
  <c r="K15" i="241" s="1"/>
  <c r="J118" i="208"/>
  <c r="K118" i="208" s="1"/>
  <c r="J116" i="208"/>
  <c r="K116" i="208" s="1"/>
  <c r="L27" i="283"/>
  <c r="L1" i="283"/>
  <c r="K2" i="328" l="1"/>
  <c r="J33" i="283"/>
  <c r="L33" i="283" s="1"/>
  <c r="J34" i="283"/>
  <c r="K2" i="322"/>
  <c r="K60" i="322"/>
  <c r="K2" i="321"/>
  <c r="K83" i="314"/>
  <c r="K2" i="314"/>
  <c r="K2" i="308"/>
  <c r="J14" i="283"/>
  <c r="K60" i="242"/>
  <c r="K2" i="242" s="1"/>
  <c r="J26" i="283" s="1"/>
  <c r="L40" i="283"/>
  <c r="K64" i="241"/>
  <c r="K2" i="241" s="1"/>
  <c r="K61" i="193"/>
  <c r="K2" i="193" s="1"/>
  <c r="K107" i="246"/>
  <c r="K2" i="246" s="1"/>
  <c r="J30" i="283" s="1"/>
  <c r="C26" i="228"/>
  <c r="C27" i="228" s="1"/>
  <c r="H13" i="288"/>
  <c r="C12" i="287"/>
  <c r="C12" i="286"/>
  <c r="B9" i="286"/>
  <c r="B2" i="287"/>
  <c r="B1" i="287"/>
  <c r="B9" i="287"/>
  <c r="B6" i="288"/>
  <c r="B2" i="288"/>
  <c r="B1" i="288"/>
  <c r="F1" i="288"/>
  <c r="F1" i="287"/>
  <c r="F1" i="286"/>
  <c r="B2" i="286"/>
  <c r="B1" i="286"/>
  <c r="B10" i="285"/>
  <c r="B3" i="285"/>
  <c r="B2" i="285"/>
  <c r="F2" i="285"/>
  <c r="L16" i="288"/>
  <c r="N14" i="287"/>
  <c r="B5" i="287"/>
  <c r="N14" i="286"/>
  <c r="B5" i="286"/>
  <c r="B6" i="285"/>
  <c r="C1" i="285"/>
  <c r="L34" i="283" l="1"/>
  <c r="K34" i="283"/>
  <c r="L30" i="283"/>
  <c r="L26" i="283"/>
  <c r="D12" i="287"/>
  <c r="C28" i="228"/>
  <c r="B43" i="285" l="1" a="1"/>
  <c r="B43" i="285" s="1"/>
  <c r="B14" i="286"/>
  <c r="B14" i="287"/>
  <c r="E80" i="262" l="1"/>
  <c r="E74" i="262"/>
  <c r="E68" i="262"/>
  <c r="E62" i="262"/>
  <c r="G60" i="260"/>
  <c r="G61" i="260"/>
  <c r="G62" i="260"/>
  <c r="G63" i="260"/>
  <c r="G64" i="260"/>
  <c r="G65" i="260"/>
  <c r="J43" i="283"/>
  <c r="R42" i="283"/>
  <c r="E27" i="262" s="1"/>
  <c r="Q42" i="283"/>
  <c r="E25" i="262" s="1"/>
  <c r="P42" i="283"/>
  <c r="O42" i="283"/>
  <c r="N42" i="283"/>
  <c r="M42" i="283"/>
  <c r="K41" i="283"/>
  <c r="B2" i="283"/>
  <c r="B1" i="283"/>
  <c r="G35" i="194"/>
  <c r="G36" i="194"/>
  <c r="G37" i="194"/>
  <c r="G38" i="194"/>
  <c r="G39" i="194"/>
  <c r="G40" i="194"/>
  <c r="G41" i="194"/>
  <c r="G42" i="194"/>
  <c r="G43" i="194"/>
  <c r="G44" i="194"/>
  <c r="G45" i="194"/>
  <c r="G46" i="194"/>
  <c r="G47" i="194"/>
  <c r="G48" i="194"/>
  <c r="G13" i="194"/>
  <c r="G14" i="194"/>
  <c r="G15" i="194"/>
  <c r="G16" i="194"/>
  <c r="G17" i="194"/>
  <c r="G18" i="194"/>
  <c r="G19" i="194"/>
  <c r="G20" i="194"/>
  <c r="G21" i="194"/>
  <c r="G22" i="194"/>
  <c r="G23" i="194"/>
  <c r="G24" i="194"/>
  <c r="G25" i="194"/>
  <c r="G26" i="194"/>
  <c r="G27" i="194"/>
  <c r="G28" i="194"/>
  <c r="G29" i="194"/>
  <c r="G30" i="194"/>
  <c r="G31" i="194"/>
  <c r="G32" i="194"/>
  <c r="G33" i="194"/>
  <c r="G53" i="193"/>
  <c r="G51" i="193"/>
  <c r="G49" i="193"/>
  <c r="G48" i="193"/>
  <c r="G47" i="193"/>
  <c r="G45" i="193"/>
  <c r="G44" i="193"/>
  <c r="G43" i="193"/>
  <c r="G42" i="193"/>
  <c r="G41" i="193"/>
  <c r="G40" i="193"/>
  <c r="G39" i="193"/>
  <c r="G38" i="193"/>
  <c r="G37" i="193"/>
  <c r="G36" i="193"/>
  <c r="G35" i="193"/>
  <c r="G43" i="242"/>
  <c r="G44" i="242"/>
  <c r="G45" i="242"/>
  <c r="G46" i="242"/>
  <c r="G47" i="242"/>
  <c r="G48" i="242"/>
  <c r="G49" i="242"/>
  <c r="G50" i="242"/>
  <c r="G51" i="242"/>
  <c r="G47" i="163"/>
  <c r="G38" i="248"/>
  <c r="G39" i="248"/>
  <c r="G40" i="248"/>
  <c r="G41" i="248"/>
  <c r="G42" i="248"/>
  <c r="G34" i="248"/>
  <c r="G35" i="248"/>
  <c r="G36" i="248"/>
  <c r="G37" i="248"/>
  <c r="G43" i="248"/>
  <c r="G44" i="248"/>
  <c r="G45" i="248"/>
  <c r="G46" i="248"/>
  <c r="G47" i="248"/>
  <c r="G48" i="248"/>
  <c r="G49" i="248"/>
  <c r="G50" i="248"/>
  <c r="G51" i="248"/>
  <c r="G52" i="248"/>
  <c r="G53" i="248"/>
  <c r="G54" i="248"/>
  <c r="G55" i="248"/>
  <c r="G56" i="248"/>
  <c r="G57" i="248"/>
  <c r="G58" i="248"/>
  <c r="B64" i="248"/>
  <c r="G84" i="247"/>
  <c r="G85" i="247"/>
  <c r="G83" i="247"/>
  <c r="G79" i="247"/>
  <c r="G69" i="247"/>
  <c r="G70" i="247"/>
  <c r="G71" i="247"/>
  <c r="G72" i="247"/>
  <c r="G73" i="247"/>
  <c r="G74" i="247"/>
  <c r="G75" i="247"/>
  <c r="G76" i="247"/>
  <c r="G77" i="247"/>
  <c r="G78" i="247"/>
  <c r="G80" i="247"/>
  <c r="G82" i="247"/>
  <c r="G46" i="247"/>
  <c r="G45" i="247"/>
  <c r="G44" i="247"/>
  <c r="G43" i="247"/>
  <c r="G42" i="247"/>
  <c r="G33" i="247"/>
  <c r="G31" i="247"/>
  <c r="G25" i="247"/>
  <c r="G24" i="247"/>
  <c r="G23" i="247"/>
  <c r="G22" i="247"/>
  <c r="G19" i="247"/>
  <c r="G18" i="247"/>
  <c r="G17" i="247"/>
  <c r="G16" i="247"/>
  <c r="G15" i="247"/>
  <c r="G5" i="246"/>
  <c r="G95" i="246"/>
  <c r="G94" i="246"/>
  <c r="G93" i="246"/>
  <c r="G92" i="246"/>
  <c r="G91" i="246"/>
  <c r="G90" i="246"/>
  <c r="G89" i="246"/>
  <c r="G88" i="246"/>
  <c r="G87" i="246"/>
  <c r="G86" i="246"/>
  <c r="G85" i="246"/>
  <c r="G84" i="246"/>
  <c r="G83" i="246"/>
  <c r="B52" i="246"/>
  <c r="G50" i="246"/>
  <c r="G49" i="246"/>
  <c r="G48" i="246"/>
  <c r="G47" i="246"/>
  <c r="G46" i="246"/>
  <c r="G45" i="246"/>
  <c r="G44" i="246"/>
  <c r="G37" i="246"/>
  <c r="G36" i="246"/>
  <c r="G35" i="246"/>
  <c r="G34" i="246"/>
  <c r="G33" i="246"/>
  <c r="G32" i="246"/>
  <c r="G31" i="246"/>
  <c r="G30" i="246"/>
  <c r="G29" i="246"/>
  <c r="G28" i="246"/>
  <c r="G27" i="246"/>
  <c r="G26" i="246"/>
  <c r="G25" i="246"/>
  <c r="G24" i="246"/>
  <c r="G23" i="246"/>
  <c r="G47" i="244"/>
  <c r="G46" i="244"/>
  <c r="G45" i="244"/>
  <c r="G41" i="244"/>
  <c r="G40" i="244"/>
  <c r="G39" i="244"/>
  <c r="G38" i="244"/>
  <c r="G35" i="244"/>
  <c r="G30" i="242"/>
  <c r="G31" i="242"/>
  <c r="G32" i="242"/>
  <c r="G33" i="242"/>
  <c r="G34" i="242"/>
  <c r="G35" i="242"/>
  <c r="G36" i="242"/>
  <c r="G37" i="242"/>
  <c r="G38" i="242"/>
  <c r="G39" i="242"/>
  <c r="G40" i="242"/>
  <c r="G41" i="242"/>
  <c r="G42" i="242"/>
  <c r="G26" i="242"/>
  <c r="G27" i="242"/>
  <c r="G48" i="163" l="1"/>
  <c r="K48" i="163"/>
  <c r="B71" i="283"/>
  <c r="K43" i="283"/>
  <c r="G43" i="283"/>
  <c r="K40" i="283" l="1"/>
  <c r="E17" i="159" l="1"/>
  <c r="G31" i="241"/>
  <c r="G127" i="208"/>
  <c r="G126" i="208"/>
  <c r="G125" i="208"/>
  <c r="G124" i="208"/>
  <c r="G123" i="208"/>
  <c r="K2" i="208" l="1"/>
  <c r="G28" i="163"/>
  <c r="G27" i="163"/>
  <c r="G26" i="163"/>
  <c r="G25" i="163"/>
  <c r="G24" i="163"/>
  <c r="G23" i="163"/>
  <c r="G22" i="163"/>
  <c r="G21" i="163"/>
  <c r="G20" i="163"/>
  <c r="G19" i="163"/>
  <c r="G18" i="163"/>
  <c r="E14" i="163"/>
  <c r="K14" i="163" s="1"/>
  <c r="K2" i="163" s="1"/>
  <c r="J9" i="283" s="1"/>
  <c r="E15" i="228"/>
  <c r="J42" i="283" l="1"/>
  <c r="J44" i="283" s="1"/>
  <c r="E18" i="228"/>
  <c r="G15" i="161" l="1"/>
  <c r="B51" i="262" l="1"/>
  <c r="B66" i="260" l="1"/>
  <c r="G58" i="262"/>
  <c r="G59" i="262"/>
  <c r="G60" i="262"/>
  <c r="G61" i="262"/>
  <c r="G62" i="262"/>
  <c r="G63" i="262"/>
  <c r="G64" i="262"/>
  <c r="G65" i="262"/>
  <c r="G66" i="262"/>
  <c r="G67" i="262"/>
  <c r="G68" i="262"/>
  <c r="G69" i="262"/>
  <c r="G70" i="262"/>
  <c r="G71" i="262"/>
  <c r="G72" i="262"/>
  <c r="G73" i="262"/>
  <c r="G74" i="262"/>
  <c r="G75" i="262"/>
  <c r="G76" i="262"/>
  <c r="G77" i="262"/>
  <c r="G78" i="262"/>
  <c r="G79" i="262"/>
  <c r="G80" i="262"/>
  <c r="G57" i="262"/>
  <c r="B52" i="262"/>
  <c r="B49" i="262"/>
  <c r="E48" i="262"/>
  <c r="B48" i="262"/>
  <c r="B47" i="262"/>
  <c r="G11" i="262"/>
  <c r="G12" i="262"/>
  <c r="G13" i="262"/>
  <c r="G14" i="262"/>
  <c r="G15" i="262"/>
  <c r="G16" i="262"/>
  <c r="G17" i="262"/>
  <c r="G18" i="262"/>
  <c r="G19" i="262"/>
  <c r="G20" i="262"/>
  <c r="G21" i="262"/>
  <c r="G22" i="262"/>
  <c r="G23" i="262"/>
  <c r="G24" i="262"/>
  <c r="G25" i="262"/>
  <c r="G26" i="262"/>
  <c r="G27" i="262"/>
  <c r="G28" i="262"/>
  <c r="G29" i="262"/>
  <c r="G30" i="262"/>
  <c r="G32" i="262"/>
  <c r="G34" i="262"/>
  <c r="G36" i="262"/>
  <c r="G38" i="262"/>
  <c r="G39" i="262"/>
  <c r="G116" i="262"/>
  <c r="B117" i="262"/>
  <c r="G10" i="262"/>
  <c r="B6" i="262"/>
  <c r="G5" i="262"/>
  <c r="G51" i="262" s="1"/>
  <c r="B3" i="262"/>
  <c r="E2" i="262"/>
  <c r="B2" i="262"/>
  <c r="G40" i="260"/>
  <c r="G41" i="260"/>
  <c r="G42" i="260"/>
  <c r="G43" i="260"/>
  <c r="G44" i="260"/>
  <c r="G45" i="260"/>
  <c r="G46" i="260"/>
  <c r="G47" i="260"/>
  <c r="G48" i="260"/>
  <c r="G49" i="260"/>
  <c r="G50" i="260"/>
  <c r="G51" i="260"/>
  <c r="G52" i="260"/>
  <c r="G53" i="260"/>
  <c r="G54" i="260"/>
  <c r="G55" i="260"/>
  <c r="G56" i="260"/>
  <c r="G57" i="260"/>
  <c r="G58" i="260"/>
  <c r="G59" i="260"/>
  <c r="G14" i="260"/>
  <c r="G15" i="260"/>
  <c r="G16" i="260"/>
  <c r="G17" i="260"/>
  <c r="G18" i="260"/>
  <c r="G19" i="260"/>
  <c r="G20" i="260"/>
  <c r="G22" i="260"/>
  <c r="G23" i="260"/>
  <c r="G24" i="260"/>
  <c r="G25" i="260"/>
  <c r="G26" i="260"/>
  <c r="G27" i="260"/>
  <c r="G28" i="260"/>
  <c r="G29" i="260"/>
  <c r="G30" i="260"/>
  <c r="G31" i="260"/>
  <c r="G32" i="260"/>
  <c r="G33" i="260"/>
  <c r="G34" i="260"/>
  <c r="G35" i="260"/>
  <c r="G36" i="260"/>
  <c r="G37" i="260"/>
  <c r="G38" i="260"/>
  <c r="G39" i="260"/>
  <c r="G13" i="260"/>
  <c r="G12" i="260"/>
  <c r="G11" i="260"/>
  <c r="G10" i="260"/>
  <c r="B6" i="260"/>
  <c r="G5" i="260"/>
  <c r="B3" i="260"/>
  <c r="E2" i="260"/>
  <c r="B2" i="260"/>
  <c r="B93" i="247"/>
  <c r="G5" i="247"/>
  <c r="B107" i="246"/>
  <c r="B57" i="246"/>
  <c r="B54" i="246"/>
  <c r="E53" i="246"/>
  <c r="B53" i="246"/>
  <c r="B61" i="193"/>
  <c r="G12" i="193"/>
  <c r="G13" i="193"/>
  <c r="G14" i="193"/>
  <c r="G15" i="193"/>
  <c r="G18" i="193"/>
  <c r="G19" i="193"/>
  <c r="G20" i="193"/>
  <c r="G21" i="193"/>
  <c r="G22" i="193"/>
  <c r="G23" i="193"/>
  <c r="G24" i="193"/>
  <c r="G25" i="193"/>
  <c r="G27" i="193"/>
  <c r="G28" i="193"/>
  <c r="G29" i="193"/>
  <c r="G30" i="193"/>
  <c r="G31" i="193"/>
  <c r="G32" i="193"/>
  <c r="G33" i="193"/>
  <c r="G34" i="193"/>
  <c r="G59" i="193"/>
  <c r="G60" i="193"/>
  <c r="G5" i="248"/>
  <c r="B66" i="244"/>
  <c r="B121" i="244" s="1"/>
  <c r="G5" i="244"/>
  <c r="G70" i="244" s="1"/>
  <c r="G10" i="244"/>
  <c r="G13" i="244"/>
  <c r="G14" i="244"/>
  <c r="G15" i="244"/>
  <c r="G16" i="244"/>
  <c r="G5" i="241"/>
  <c r="B64" i="241"/>
  <c r="B71" i="194"/>
  <c r="G12" i="194"/>
  <c r="G34" i="194"/>
  <c r="G49" i="194"/>
  <c r="G50" i="194"/>
  <c r="G51" i="194"/>
  <c r="G52" i="194"/>
  <c r="G53" i="194"/>
  <c r="G54" i="194"/>
  <c r="G55" i="194"/>
  <c r="G56" i="194"/>
  <c r="G57" i="194"/>
  <c r="G58" i="194"/>
  <c r="G59" i="194"/>
  <c r="G60" i="194"/>
  <c r="G61" i="194"/>
  <c r="G62" i="194"/>
  <c r="G63" i="194"/>
  <c r="G64" i="194"/>
  <c r="G65" i="194"/>
  <c r="G66" i="194"/>
  <c r="G67" i="194"/>
  <c r="G68" i="194"/>
  <c r="G69" i="194"/>
  <c r="G70" i="194"/>
  <c r="B60" i="242"/>
  <c r="G11" i="242"/>
  <c r="G12" i="242"/>
  <c r="G13" i="242"/>
  <c r="G14" i="242"/>
  <c r="G15" i="242"/>
  <c r="G16" i="242"/>
  <c r="G17" i="242"/>
  <c r="G18" i="242"/>
  <c r="G19" i="242"/>
  <c r="G20" i="242"/>
  <c r="G21" i="242"/>
  <c r="G22" i="242"/>
  <c r="G23" i="242"/>
  <c r="G24" i="242"/>
  <c r="G25" i="242"/>
  <c r="G28" i="242"/>
  <c r="G29" i="242"/>
  <c r="G52" i="242"/>
  <c r="G53" i="242"/>
  <c r="G54" i="242"/>
  <c r="G55" i="242"/>
  <c r="G56" i="242"/>
  <c r="G10" i="242"/>
  <c r="G5" i="242"/>
  <c r="G11" i="171"/>
  <c r="G12" i="171"/>
  <c r="G13" i="171"/>
  <c r="G14" i="171"/>
  <c r="G15" i="171"/>
  <c r="G16" i="171"/>
  <c r="G17" i="171"/>
  <c r="G18" i="171"/>
  <c r="G19" i="171"/>
  <c r="G20" i="171"/>
  <c r="G21" i="171"/>
  <c r="G22" i="171"/>
  <c r="G23" i="171"/>
  <c r="G24" i="171"/>
  <c r="G25" i="171"/>
  <c r="G26" i="171"/>
  <c r="G27" i="171"/>
  <c r="G28" i="171"/>
  <c r="G29" i="171"/>
  <c r="G30" i="171"/>
  <c r="G31" i="171"/>
  <c r="G32" i="171"/>
  <c r="G33" i="171"/>
  <c r="G34" i="171"/>
  <c r="G35" i="171"/>
  <c r="G36" i="171"/>
  <c r="G37" i="171"/>
  <c r="G38" i="171"/>
  <c r="G39" i="171"/>
  <c r="G40" i="171"/>
  <c r="G41" i="171"/>
  <c r="G42" i="171"/>
  <c r="G43" i="171"/>
  <c r="G44" i="171"/>
  <c r="G45" i="171"/>
  <c r="G46" i="171"/>
  <c r="G47" i="171"/>
  <c r="G48" i="171"/>
  <c r="G49" i="171"/>
  <c r="G50" i="171"/>
  <c r="G51" i="171"/>
  <c r="G52" i="171"/>
  <c r="G53" i="171"/>
  <c r="G54" i="171"/>
  <c r="G55" i="171"/>
  <c r="G56" i="171"/>
  <c r="G57" i="171"/>
  <c r="G58" i="171"/>
  <c r="G59" i="171"/>
  <c r="G60" i="171"/>
  <c r="G63" i="171"/>
  <c r="G64" i="171"/>
  <c r="B65" i="171"/>
  <c r="B136" i="171" s="1"/>
  <c r="E21" i="260" l="1"/>
  <c r="G21" i="260" s="1"/>
  <c r="G66" i="260" s="1"/>
  <c r="G60" i="242"/>
  <c r="E31" i="285" s="1"/>
  <c r="D27" i="283" s="1"/>
  <c r="G27" i="283" s="1"/>
  <c r="G1" i="242" l="1"/>
  <c r="G1" i="260"/>
  <c r="E14" i="286" s="1"/>
  <c r="E10" i="288" s="1"/>
  <c r="G11" i="208" l="1"/>
  <c r="G65" i="208" s="1"/>
  <c r="G112" i="208"/>
  <c r="G113" i="208"/>
  <c r="G114" i="208"/>
  <c r="G115" i="208"/>
  <c r="G116" i="208"/>
  <c r="G117" i="208"/>
  <c r="G118" i="208"/>
  <c r="G119" i="208"/>
  <c r="G120" i="208"/>
  <c r="G121" i="208"/>
  <c r="G122" i="208"/>
  <c r="G128" i="208"/>
  <c r="G10" i="208"/>
  <c r="B129" i="208"/>
  <c r="G74" i="208" l="1"/>
  <c r="G129" i="208" s="1"/>
  <c r="G15" i="283" s="1"/>
  <c r="B6" i="159"/>
  <c r="B6" i="161"/>
  <c r="B6" i="163"/>
  <c r="B6" i="208"/>
  <c r="B6" i="171"/>
  <c r="B6" i="241"/>
  <c r="B6" i="242"/>
  <c r="B6" i="244"/>
  <c r="B6" i="246"/>
  <c r="B6" i="247"/>
  <c r="B6" i="248"/>
  <c r="B6" i="193"/>
  <c r="B6" i="194"/>
  <c r="B6" i="165"/>
  <c r="G5" i="159"/>
  <c r="G61" i="159" s="1"/>
  <c r="G5" i="161"/>
  <c r="G5" i="163"/>
  <c r="G5" i="208"/>
  <c r="G69" i="208" s="1"/>
  <c r="G5" i="171"/>
  <c r="G69" i="171" s="1"/>
  <c r="G56" i="246"/>
  <c r="G5" i="165"/>
  <c r="B3" i="159"/>
  <c r="B3" i="161"/>
  <c r="B3" i="163"/>
  <c r="B3" i="208"/>
  <c r="B3" i="171"/>
  <c r="B3" i="241"/>
  <c r="B3" i="242"/>
  <c r="B3" i="244"/>
  <c r="B3" i="246"/>
  <c r="B3" i="247"/>
  <c r="B3" i="248"/>
  <c r="B3" i="193"/>
  <c r="B3" i="194"/>
  <c r="B3" i="165"/>
  <c r="B2" i="159"/>
  <c r="B2" i="161"/>
  <c r="B2" i="163"/>
  <c r="B2" i="208"/>
  <c r="B2" i="171"/>
  <c r="B2" i="241"/>
  <c r="B2" i="242"/>
  <c r="B2" i="244"/>
  <c r="B2" i="246"/>
  <c r="B2" i="247"/>
  <c r="B2" i="248"/>
  <c r="B2" i="193"/>
  <c r="B2" i="194"/>
  <c r="B2" i="165"/>
  <c r="E2" i="161"/>
  <c r="E2" i="163"/>
  <c r="E2" i="208"/>
  <c r="E2" i="171"/>
  <c r="E2" i="241"/>
  <c r="E2" i="242"/>
  <c r="E2" i="244"/>
  <c r="E2" i="246"/>
  <c r="E2" i="247"/>
  <c r="E2" i="248"/>
  <c r="E2" i="193"/>
  <c r="E2" i="194"/>
  <c r="E2" i="165"/>
  <c r="B65" i="165"/>
  <c r="G11" i="165"/>
  <c r="G12" i="165"/>
  <c r="G13" i="165"/>
  <c r="G14" i="165"/>
  <c r="G15" i="165"/>
  <c r="G16" i="165"/>
  <c r="G17" i="165"/>
  <c r="G18" i="165"/>
  <c r="G19" i="165"/>
  <c r="G20" i="165"/>
  <c r="G21" i="165"/>
  <c r="G22" i="165"/>
  <c r="G23" i="165"/>
  <c r="G24" i="165"/>
  <c r="G25" i="165"/>
  <c r="G27" i="165"/>
  <c r="G28" i="165"/>
  <c r="G29" i="165"/>
  <c r="G30" i="165"/>
  <c r="G31" i="165"/>
  <c r="G32" i="165"/>
  <c r="G33" i="165"/>
  <c r="G34" i="165"/>
  <c r="G35" i="165"/>
  <c r="G36" i="165"/>
  <c r="G37" i="165"/>
  <c r="G38" i="165"/>
  <c r="G39" i="165"/>
  <c r="G40" i="165"/>
  <c r="G41" i="165"/>
  <c r="G42" i="165"/>
  <c r="G43" i="165"/>
  <c r="G44" i="165"/>
  <c r="G45" i="165"/>
  <c r="G46" i="165"/>
  <c r="G47" i="165"/>
  <c r="G48" i="165"/>
  <c r="G49" i="165"/>
  <c r="G50" i="165"/>
  <c r="G51" i="165"/>
  <c r="G52" i="165"/>
  <c r="G53" i="165"/>
  <c r="G54" i="165"/>
  <c r="G55" i="165"/>
  <c r="G56" i="165"/>
  <c r="G57" i="165"/>
  <c r="G58" i="165"/>
  <c r="G59" i="165"/>
  <c r="G10" i="165"/>
  <c r="G11" i="248"/>
  <c r="G12" i="248"/>
  <c r="G13" i="248"/>
  <c r="G14" i="248"/>
  <c r="G15" i="248"/>
  <c r="G16" i="248"/>
  <c r="G17" i="248"/>
  <c r="G18" i="248"/>
  <c r="G19" i="248"/>
  <c r="G20" i="248"/>
  <c r="G21" i="248"/>
  <c r="G22" i="248"/>
  <c r="G23" i="248"/>
  <c r="G24" i="248"/>
  <c r="G25" i="248"/>
  <c r="G26" i="248"/>
  <c r="G27" i="248"/>
  <c r="G28" i="248"/>
  <c r="G29" i="248"/>
  <c r="G30" i="248"/>
  <c r="G31" i="248"/>
  <c r="G33" i="248"/>
  <c r="G63" i="248"/>
  <c r="G10" i="247"/>
  <c r="G11" i="247"/>
  <c r="G12" i="247"/>
  <c r="G92" i="247"/>
  <c r="G10" i="246"/>
  <c r="G11" i="246"/>
  <c r="G12" i="246"/>
  <c r="G13" i="246"/>
  <c r="G14" i="246"/>
  <c r="G15" i="246"/>
  <c r="G16" i="246"/>
  <c r="G17" i="246"/>
  <c r="G18" i="246"/>
  <c r="G19" i="246"/>
  <c r="G20" i="246"/>
  <c r="G21" i="246"/>
  <c r="G63" i="246"/>
  <c r="G64" i="246"/>
  <c r="G65" i="246"/>
  <c r="G66" i="246"/>
  <c r="G67" i="246"/>
  <c r="G68" i="246"/>
  <c r="G69" i="246"/>
  <c r="G70" i="246"/>
  <c r="G71" i="246"/>
  <c r="G17" i="244"/>
  <c r="G18" i="244"/>
  <c r="G19" i="244"/>
  <c r="G22" i="244"/>
  <c r="G23" i="244"/>
  <c r="G29" i="244"/>
  <c r="G30" i="244"/>
  <c r="G31" i="244"/>
  <c r="G32" i="244"/>
  <c r="G33" i="244"/>
  <c r="G34" i="244"/>
  <c r="G10" i="241"/>
  <c r="G11" i="241"/>
  <c r="G12" i="241"/>
  <c r="G13" i="241"/>
  <c r="G14" i="241"/>
  <c r="G15" i="241"/>
  <c r="G16" i="241"/>
  <c r="G17" i="241"/>
  <c r="G18" i="241"/>
  <c r="G19" i="241"/>
  <c r="G20" i="241"/>
  <c r="G21" i="241"/>
  <c r="G22" i="241"/>
  <c r="G23" i="241"/>
  <c r="G24" i="241"/>
  <c r="G25" i="241"/>
  <c r="G63" i="241"/>
  <c r="G1" i="208" l="1"/>
  <c r="E19" i="285" s="1"/>
  <c r="G52" i="246"/>
  <c r="G61" i="246" s="1"/>
  <c r="G93" i="247"/>
  <c r="E35" i="285" s="1"/>
  <c r="G64" i="248"/>
  <c r="E37" i="285" s="1"/>
  <c r="D36" i="283" s="1"/>
  <c r="G36" i="283" s="1"/>
  <c r="G66" i="244"/>
  <c r="G64" i="241"/>
  <c r="E30" i="285" s="1"/>
  <c r="D26" i="283" s="1"/>
  <c r="G26" i="283" s="1"/>
  <c r="G1" i="241" l="1"/>
  <c r="G14" i="283"/>
  <c r="C129" i="208"/>
  <c r="G1" i="247"/>
  <c r="G75" i="244"/>
  <c r="G121" i="244" s="1"/>
  <c r="G1" i="248"/>
  <c r="G1" i="244" l="1"/>
  <c r="D30" i="283" s="1"/>
  <c r="G30" i="283" s="1"/>
  <c r="E33" i="285"/>
  <c r="K36" i="283"/>
  <c r="K26" i="283"/>
  <c r="D33" i="283"/>
  <c r="G33" i="283" s="1"/>
  <c r="K27" i="283"/>
  <c r="K14" i="283"/>
  <c r="G107" i="246"/>
  <c r="E34" i="285" s="1"/>
  <c r="C66" i="244" l="1"/>
  <c r="K29" i="283"/>
  <c r="G1" i="246"/>
  <c r="K33" i="283"/>
  <c r="B55" i="163"/>
  <c r="G11" i="163"/>
  <c r="G12" i="163"/>
  <c r="G13" i="163"/>
  <c r="G14" i="163"/>
  <c r="G15" i="163"/>
  <c r="G54" i="163"/>
  <c r="G65" i="165"/>
  <c r="D32" i="283" l="1"/>
  <c r="G32" i="283" s="1"/>
  <c r="G1" i="165"/>
  <c r="E17" i="285" s="1"/>
  <c r="K32" i="283" l="1"/>
  <c r="C65" i="165"/>
  <c r="D13" i="283"/>
  <c r="G13" i="283" s="1"/>
  <c r="K30" i="283"/>
  <c r="K13" i="283" l="1"/>
  <c r="K11" i="283" l="1"/>
  <c r="G11" i="159"/>
  <c r="G12" i="159"/>
  <c r="G13" i="159"/>
  <c r="G14" i="159"/>
  <c r="G15" i="159"/>
  <c r="G16" i="159"/>
  <c r="G17" i="159"/>
  <c r="G18" i="159"/>
  <c r="G19" i="159"/>
  <c r="G20" i="159"/>
  <c r="G10" i="159"/>
  <c r="G56" i="159" l="1"/>
  <c r="G66" i="159" s="1"/>
  <c r="G115" i="159" s="1"/>
  <c r="G1" i="159" l="1"/>
  <c r="C115" i="159" s="1"/>
  <c r="G10" i="194"/>
  <c r="G10" i="193"/>
  <c r="G61" i="193" s="1"/>
  <c r="G10" i="171"/>
  <c r="G65" i="171" s="1"/>
  <c r="G10" i="163"/>
  <c r="B73" i="161"/>
  <c r="G20" i="161"/>
  <c r="G19" i="161"/>
  <c r="G18" i="161"/>
  <c r="G17" i="161"/>
  <c r="G14" i="161"/>
  <c r="G13" i="161"/>
  <c r="G12" i="161"/>
  <c r="G11" i="161"/>
  <c r="G10" i="161"/>
  <c r="G1" i="193" l="1"/>
  <c r="C61" i="193" s="1"/>
  <c r="D8" i="283"/>
  <c r="E13" i="285"/>
  <c r="G74" i="171"/>
  <c r="G136" i="171" s="1"/>
  <c r="G1" i="171" s="1"/>
  <c r="G71" i="194"/>
  <c r="G55" i="163"/>
  <c r="G73" i="161"/>
  <c r="G1" i="194" l="1"/>
  <c r="E40" i="285"/>
  <c r="D39" i="283" s="1"/>
  <c r="G39" i="283" s="1"/>
  <c r="E26" i="285"/>
  <c r="D22" i="283" s="1"/>
  <c r="G22" i="283" s="1"/>
  <c r="E27" i="285"/>
  <c r="D23" i="283" s="1"/>
  <c r="G23" i="283" s="1"/>
  <c r="C65" i="171"/>
  <c r="C136" i="171"/>
  <c r="G1" i="161"/>
  <c r="G8" i="283"/>
  <c r="K8" i="283"/>
  <c r="K39" i="283" l="1"/>
  <c r="D9" i="283"/>
  <c r="E14" i="285"/>
  <c r="K23" i="283"/>
  <c r="G1" i="163"/>
  <c r="C73" i="161"/>
  <c r="G9" i="283" l="1"/>
  <c r="C55" i="163"/>
  <c r="E15" i="285"/>
  <c r="D10" i="283"/>
  <c r="G10" i="283" l="1"/>
  <c r="K9" i="283" l="1"/>
  <c r="L41" i="283" l="1"/>
  <c r="L8" i="283"/>
  <c r="L11" i="283"/>
  <c r="L14" i="283"/>
  <c r="L13" i="283"/>
  <c r="L16" i="283"/>
  <c r="L9" i="283"/>
  <c r="L43" i="283"/>
  <c r="L42" i="283"/>
  <c r="E43" i="285" l="1"/>
  <c r="E9" i="288" s="1"/>
  <c r="G16" i="283"/>
  <c r="G42" i="283" s="1"/>
  <c r="D42" i="283"/>
  <c r="D44" i="283" s="1"/>
  <c r="N49" i="283"/>
  <c r="V50" i="283" s="1"/>
  <c r="V52" i="283" s="1"/>
  <c r="W43" i="283"/>
  <c r="K16" i="283"/>
  <c r="H17" i="283" l="1"/>
  <c r="H37" i="283"/>
  <c r="H25" i="283"/>
  <c r="H12" i="283"/>
  <c r="H15" i="283"/>
  <c r="H35" i="283"/>
  <c r="H36" i="283"/>
  <c r="H38" i="283"/>
  <c r="H39" i="283"/>
  <c r="H28" i="283"/>
  <c r="H29" i="283"/>
  <c r="H30" i="283"/>
  <c r="H31" i="283"/>
  <c r="H32" i="283"/>
  <c r="H33" i="283"/>
  <c r="H34" i="283"/>
  <c r="H27" i="283"/>
  <c r="E1" i="285"/>
  <c r="K42" i="283"/>
  <c r="O49" i="283"/>
  <c r="G44" i="283"/>
  <c r="H42" i="283"/>
  <c r="H11" i="283"/>
  <c r="H14" i="283"/>
  <c r="H13" i="283"/>
  <c r="H24" i="283"/>
  <c r="H19" i="283"/>
  <c r="H9" i="283"/>
  <c r="H20" i="283"/>
  <c r="D47" i="283"/>
  <c r="H26" i="283"/>
  <c r="H43" i="283"/>
  <c r="H21" i="283"/>
  <c r="H18" i="283"/>
  <c r="H23" i="283"/>
  <c r="H22" i="283"/>
  <c r="H8" i="283"/>
  <c r="H16" i="283"/>
  <c r="W52" i="283"/>
  <c r="V53" i="283" s="1"/>
  <c r="G31" i="262" l="1"/>
  <c r="G33" i="262" s="1"/>
  <c r="G35" i="262"/>
  <c r="F44" i="283"/>
  <c r="H44" i="283"/>
  <c r="D46" i="283"/>
  <c r="F46" i="283" s="1"/>
  <c r="F48" i="283" s="1"/>
  <c r="G37" i="262" l="1"/>
  <c r="G47" i="262" s="1"/>
  <c r="G117" i="262" s="1"/>
  <c r="E12" i="287" s="1"/>
  <c r="D48" i="283"/>
  <c r="B48" i="283"/>
  <c r="G1" i="262" l="1"/>
  <c r="E14" i="287" l="1"/>
  <c r="E11" i="288" s="1"/>
  <c r="E13" i="288" s="1"/>
  <c r="I13" i="288" l="1"/>
  <c r="E14" i="288"/>
  <c r="E15" i="288" s="1"/>
  <c r="E16" i="288" s="1"/>
  <c r="E17" i="288" s="1"/>
  <c r="E18" i="288" s="1"/>
  <c r="E19" i="288" s="1"/>
  <c r="E20" i="288" s="1"/>
  <c r="E21" i="28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<sst xmlns="http://schemas.openxmlformats.org/spreadsheetml/2006/main" count="2822" uniqueCount="1165">
  <si>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</si>
  <si>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</si>
  <si>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</si>
  <si>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</si>
  <si>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</si>
  <si>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</si>
  <si>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</si>
  <si>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</si>
  <si>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</si>
  <si>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</si>
  <si>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</si>
  <si>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</si>
  <si>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</si>
  <si>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</si>
  <si>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</si>
  <si>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</si>
  <si>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</si>
  <si>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</si>
  <si>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</si>
  <si>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</si>
  <si>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</si>
  <si>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</si>
  <si>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</si>
  <si>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</si>
  <si>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</si>
  <si>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</si>
  <si>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</si>
  <si>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</si>
  <si>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</si>
  <si>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</si>
  <si>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</si>
  <si>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</si>
  <si>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</si>
  <si>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</si>
  <si>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</si>
  <si>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</si>
  <si>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</si>
  <si>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</si>
  <si>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</si>
  <si>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</si>
  <si>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</si>
  <si>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</si>
  <si>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</si>
  <si>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</si>
  <si>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</si>
  <si>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</si>
  <si>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</si>
  <si>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</si>
  <si>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</si>
  <si>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</si>
  <si>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</si>
  <si>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</si>
  <si>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</si>
  <si>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</si>
  <si>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</si>
  <si>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</si>
  <si>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</si>
  <si>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</si>
  <si>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</si>
  <si>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</si>
  <si>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</si>
  <si>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</si>
  <si>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</si>
  <si>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</si>
  <si>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</si>
  <si>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</si>
  <si>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</si>
  <si>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</si>
  <si>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</si>
  <si>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</si>
  <si>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</si>
  <si>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</si>
  <si>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</si>
  <si>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</si>
  <si>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</si>
  <si>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</si>
  <si>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</si>
  <si>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</si>
  <si>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</si>
  <si>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</si>
  <si>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</si>
  <si>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</si>
  <si>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</si>
  <si>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</si>
  <si>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</si>
  <si>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</si>
  <si>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</si>
  <si>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</si>
  <si>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</si>
  <si>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</si>
  <si>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</si>
  <si>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</si>
  <si>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</si>
  <si>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</si>
  <si>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</si>
  <si>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</si>
  <si>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Hauling material to spoil and off-loading it at a designated spoil or stockpile are:</t>
  </si>
  <si>
    <t>Cleared and grubbed material (organic matter and all other unsuitable or waste material)</t>
  </si>
  <si>
    <t>Soil and gravel material</t>
  </si>
  <si>
    <t>man-shift</t>
  </si>
  <si>
    <r>
      <t>m</t>
    </r>
    <r>
      <rPr>
        <vertAlign val="superscript"/>
        <sz val="10"/>
        <rFont val="Arial"/>
        <family val="2"/>
      </rPr>
      <t>3</t>
    </r>
    <r>
      <rPr>
        <sz val="10"/>
        <rFont val="Arial"/>
        <family val="2"/>
      </rPr>
      <t xml:space="preserve"> - km</t>
    </r>
  </si>
  <si>
    <t>(b.i)</t>
  </si>
  <si>
    <t>(b.ii)</t>
  </si>
  <si>
    <t>(g)</t>
  </si>
  <si>
    <t>(a.iii)</t>
  </si>
  <si>
    <t>(c.i)</t>
  </si>
  <si>
    <t>(c.ii)</t>
  </si>
  <si>
    <t>(d.i)</t>
  </si>
  <si>
    <t>ANCILLARY STRUCTURAL ELEMENTS</t>
  </si>
  <si>
    <t>Reinforcement:</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</si>
  <si>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</si>
  <si>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</si>
  <si>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</si>
  <si>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</si>
  <si>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</si>
  <si>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</si>
  <si>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</si>
  <si>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</si>
  <si>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</si>
  <si>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</si>
  <si>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</si>
  <si>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</si>
  <si>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</si>
  <si>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</si>
  <si>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Repairing or replacing existing drainage systems</t>
  </si>
  <si>
    <t>C3.1.15</t>
  </si>
  <si>
    <t>Exceeding 1.5m and up to 3.0m</t>
  </si>
  <si>
    <t>0m to 1.5m</t>
  </si>
  <si>
    <t>Using conventional methods</t>
  </si>
  <si>
    <t>C3.1.2.1</t>
  </si>
  <si>
    <t>C3.1.2</t>
  </si>
  <si>
    <t>DRAINS</t>
  </si>
  <si>
    <t>C3.1</t>
  </si>
  <si>
    <t>ℓ</t>
  </si>
  <si>
    <t>C3.2.24.1</t>
  </si>
  <si>
    <t>Compaction of bedding for inlets, outlets, manholes and catchpits:</t>
  </si>
  <si>
    <t>C3.2.24</t>
  </si>
  <si>
    <t>Plaster</t>
  </si>
  <si>
    <t>230 mm thick</t>
  </si>
  <si>
    <t>C3.2.16.2</t>
  </si>
  <si>
    <t>Brickwork (Engineering bricks):</t>
  </si>
  <si>
    <t>C3.2.16</t>
  </si>
  <si>
    <t>C3.2.10.3</t>
  </si>
  <si>
    <t>C3.2.10</t>
  </si>
  <si>
    <t>C3.2.7.6</t>
  </si>
  <si>
    <t>C3.2.7.5</t>
  </si>
  <si>
    <t>Cast in situ concrete and formwork:</t>
  </si>
  <si>
    <t>C3.2.7</t>
  </si>
  <si>
    <t>C3.2.3.5</t>
  </si>
  <si>
    <t>C3.2.3.3</t>
  </si>
  <si>
    <t>Concrete pipe culverts:</t>
  </si>
  <si>
    <t>C3.2.3</t>
  </si>
  <si>
    <t>Using imported selected material:</t>
  </si>
  <si>
    <t>C3.2.2.2</t>
  </si>
  <si>
    <t>Using the excavated material</t>
  </si>
  <si>
    <t>C3.2.2.1</t>
  </si>
  <si>
    <t>Backfilling:</t>
  </si>
  <si>
    <t>C3.2.2</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</si>
  <si>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</si>
  <si>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</si>
  <si>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</si>
  <si>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</si>
  <si>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</si>
  <si>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</si>
  <si>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</si>
  <si>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</si>
  <si>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</si>
  <si>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sz val="10"/>
        <rFont val="Calibri"/>
        <family val="2"/>
      </rPr>
      <t>²</t>
    </r>
  </si>
  <si>
    <r>
      <t>m</t>
    </r>
    <r>
      <rPr>
        <sz val="10"/>
        <rFont val="Calibri"/>
        <family val="2"/>
      </rPr>
      <t>³</t>
    </r>
  </si>
  <si>
    <r>
      <t>m</t>
    </r>
    <r>
      <rPr>
        <vertAlign val="superscript"/>
        <sz val="10"/>
        <rFont val="Arial"/>
        <family val="2"/>
      </rPr>
      <t>3</t>
    </r>
    <r>
      <rPr>
        <sz val="11"/>
        <color theme="1"/>
        <rFont val="Calibri"/>
        <family val="2"/>
        <scheme val="minor"/>
      </rPr>
      <t/>
    </r>
  </si>
  <si>
    <t>Prov Sum</t>
  </si>
  <si>
    <t>PC Sum</t>
  </si>
  <si>
    <t>Extra over sub-item C11.2.1.1 for excavation in hard material, irrespective of depth</t>
  </si>
  <si>
    <t>Excavating all material situated within the following depth ranges below the surface level</t>
  </si>
  <si>
    <t>Foundation trench excavation:</t>
  </si>
  <si>
    <t>Client Line 1:</t>
  </si>
  <si>
    <t>Client Line 2:</t>
  </si>
  <si>
    <t>l</t>
  </si>
  <si>
    <t>Pavement layer material:</t>
  </si>
  <si>
    <t>COMMERCIAL MATERIALS</t>
  </si>
  <si>
    <t>C4.4</t>
  </si>
  <si>
    <t>m³</t>
  </si>
  <si>
    <t>(c )</t>
  </si>
  <si>
    <t>C11.1.6</t>
  </si>
  <si>
    <t>Grouted stone pitching on a concrete bed</t>
  </si>
  <si>
    <t>C11.1.2.3</t>
  </si>
  <si>
    <t>Method 1</t>
  </si>
  <si>
    <t>Plain stone pitching</t>
  </si>
  <si>
    <t>C11.1.2.1</t>
  </si>
  <si>
    <t>Stone pitching</t>
  </si>
  <si>
    <t>C11.1.2</t>
  </si>
  <si>
    <t>Excavating foundation trenches in intermediate material using labour enhanced construction methods 0 m to 1,0 m depth</t>
  </si>
  <si>
    <t>C11.1.1.2</t>
  </si>
  <si>
    <t>Excavating foundation trenches in soft material using labour enhanced construction methods 0 m to 1,0 m depth</t>
  </si>
  <si>
    <t>C11.1.1.1</t>
  </si>
  <si>
    <t>Foundation trenches for stone masonry walls</t>
  </si>
  <si>
    <t>C11.1.1</t>
  </si>
  <si>
    <t>PITCHING, STONEWORK, CAST IN SITU CONCRETE FOR PROTECTION AGAINST EROSION</t>
  </si>
  <si>
    <t>C11.1</t>
  </si>
  <si>
    <t>C11.2.4</t>
  </si>
  <si>
    <t>Gabion boxes and mattresses:</t>
  </si>
  <si>
    <t>C11.2.3</t>
  </si>
  <si>
    <t>Surface preparation for bedding the gabion boxes and mattresses</t>
  </si>
  <si>
    <t>C11.2.2</t>
  </si>
  <si>
    <t>Excavating intermediate material within 1,5 m below the surface level using labour enhanced construction methods:</t>
  </si>
  <si>
    <t>C11.2.1.4</t>
  </si>
  <si>
    <t>Excavating soft material within 1,5 m below the surface level using labour enhanced construction methods:</t>
  </si>
  <si>
    <t>C11.2.1.3</t>
  </si>
  <si>
    <t>C11.2.1.2</t>
  </si>
  <si>
    <t>Etc, in increments of 1,5 m</t>
  </si>
  <si>
    <t>Exceeding 1,5 m and up to 3,0 m</t>
  </si>
  <si>
    <t>0 m to 1,5 m</t>
  </si>
  <si>
    <t>C11.2.1.1</t>
  </si>
  <si>
    <t>C11.2.1</t>
  </si>
  <si>
    <t>Kilometre markers</t>
  </si>
  <si>
    <t>Reflective plates</t>
  </si>
  <si>
    <t>C11.4.1.1</t>
  </si>
  <si>
    <t>Removing existing guardrails:</t>
  </si>
  <si>
    <t>C11.4.7</t>
  </si>
  <si>
    <t>Steel plates</t>
  </si>
  <si>
    <t>C11.4.6.1</t>
  </si>
  <si>
    <t>C11.4.6</t>
  </si>
  <si>
    <t>Timber</t>
  </si>
  <si>
    <t>C11.4.5.1</t>
  </si>
  <si>
    <t>Additional guardrail posts for 3,81 m systems:</t>
  </si>
  <si>
    <t>C11.4.5</t>
  </si>
  <si>
    <t>Extra over C11.4.1 and C11.4.11 for horizontally curved guard rails factory bent to a radius of less than 45 m</t>
  </si>
  <si>
    <t>C11.4.4.1</t>
  </si>
  <si>
    <t>Extra over for horizontally curved guard rails</t>
  </si>
  <si>
    <t>C11.4.4</t>
  </si>
  <si>
    <t>Extra over C11.4.1.2(d) and C11.4.1.2(e) for excavating holes for posts using labour enhanced methods (soft and intermediate)</t>
  </si>
  <si>
    <t>End wings to SANS 1350</t>
  </si>
  <si>
    <t>Terminal sections for 3,81 guardrails comprising of:</t>
  </si>
  <si>
    <t>C11.4.1.2</t>
  </si>
  <si>
    <t>Extra over C11.4.1.1(a) and C11.4.1.1(b) for excavating holes of posts using labour enhanced methods (soft and intermediate)</t>
  </si>
  <si>
    <t>Complete galvanized system compliant to SANS 1350:</t>
  </si>
  <si>
    <t>Erecting of guardrails at 3,81 m spacing</t>
  </si>
  <si>
    <t>C11.4.1</t>
  </si>
  <si>
    <t>Size 200 x 800 mm (state post type and reflective material)</t>
  </si>
  <si>
    <t>C11.6.8.2</t>
  </si>
  <si>
    <t>Danger plates at culverts/structures</t>
  </si>
  <si>
    <t>C11.6.8</t>
  </si>
  <si>
    <t>Dismantling and storing of road signs with a surface area of:</t>
  </si>
  <si>
    <t>C11.6.7.1</t>
  </si>
  <si>
    <t>Dismantling and storing of road signs and overhead signs</t>
  </si>
  <si>
    <t>C11.6.7</t>
  </si>
  <si>
    <t>Extra over item C11.6.5.1 for hard material excavation</t>
  </si>
  <si>
    <t>C11.6.5.4</t>
  </si>
  <si>
    <t>Extra over item C11.6.5.1 and 2 for cement-treated soil backfill</t>
  </si>
  <si>
    <t>C11.6.5.3</t>
  </si>
  <si>
    <t>Excavating soft or intermediate material and backfilling using labour enhanced construction methods</t>
  </si>
  <si>
    <t>C11.6.5.2</t>
  </si>
  <si>
    <t>Excavating soft material and backfilling</t>
  </si>
  <si>
    <t>C11.6.5.1</t>
  </si>
  <si>
    <t>Excavation and backfilling for road sign supports (not applicable to kilometre posts)</t>
  </si>
  <si>
    <t>C11.6.5</t>
  </si>
  <si>
    <t>m²</t>
  </si>
  <si>
    <t>C11.6.3.2</t>
  </si>
  <si>
    <t>Road sign supports (overhead road sign structures excluded):</t>
  </si>
  <si>
    <t>C11.6.3</t>
  </si>
  <si>
    <t>Warning signs, temporary</t>
  </si>
  <si>
    <t>C11.6.1.10</t>
  </si>
  <si>
    <t>Warning signs, permanent</t>
  </si>
  <si>
    <t>C11.6.1.9</t>
  </si>
  <si>
    <t>Regulatory signs, temporary</t>
  </si>
  <si>
    <t>C11.6.1.8</t>
  </si>
  <si>
    <t>Regulatory signs, permanent</t>
  </si>
  <si>
    <t>C11.6.1.7</t>
  </si>
  <si>
    <t>Prepainted galvanized steel plate:</t>
  </si>
  <si>
    <t>C11.6.1.3</t>
  </si>
  <si>
    <t>Road signboards with painted or coloured semi-matt background. Symbols, lettering and borders in semi- matt black or in Class I retro-reflective material, where the sign board is constructed from:</t>
  </si>
  <si>
    <t>C11.6.1</t>
  </si>
  <si>
    <t>ROAD SIGNS</t>
  </si>
  <si>
    <t>C11.6</t>
  </si>
  <si>
    <t>Setting out and premarking the lines (excluding traffic island markings, lettering and symbols)</t>
  </si>
  <si>
    <t>C11.7.8</t>
  </si>
  <si>
    <t>C11.7.7.2</t>
  </si>
  <si>
    <t>Road studs</t>
  </si>
  <si>
    <t>C11.7.7</t>
  </si>
  <si>
    <t>Retro-reflective beads</t>
  </si>
  <si>
    <t>C11.7.5.4</t>
  </si>
  <si>
    <t>Red paint</t>
  </si>
  <si>
    <t>C11.7.5.3</t>
  </si>
  <si>
    <t>Yellow paint</t>
  </si>
  <si>
    <t>C11.7.5.2</t>
  </si>
  <si>
    <t>White paint</t>
  </si>
  <si>
    <t>C11.7.5.1</t>
  </si>
  <si>
    <t>Variations in rate of application:</t>
  </si>
  <si>
    <t>C11.7.5</t>
  </si>
  <si>
    <t>C11.7.2.13</t>
  </si>
  <si>
    <t>C11.7.2.12</t>
  </si>
  <si>
    <t>C11.7.2.11</t>
  </si>
  <si>
    <t>C11.7.2.3</t>
  </si>
  <si>
    <t>C11.7.2.2</t>
  </si>
  <si>
    <t>C11.7.2.1</t>
  </si>
  <si>
    <t>Retro-reflective road marking:</t>
  </si>
  <si>
    <t>C11.7.2</t>
  </si>
  <si>
    <t>ROAD MARKINGS AND ROAD STUDS</t>
  </si>
  <si>
    <t>C11.7</t>
  </si>
  <si>
    <t>CHAPTER 11</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</si>
  <si>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</si>
  <si>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</si>
  <si>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</si>
  <si>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</si>
  <si>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</si>
  <si>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</si>
  <si>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</si>
  <si>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FROM PAGE</t>
  </si>
  <si>
    <t>C2.3 SUMMARY OF BILL OF QUANTITIES</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</si>
  <si>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</si>
  <si>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</si>
  <si>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</si>
  <si>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</si>
  <si>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</si>
  <si>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</si>
  <si>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CHAPTER</t>
  </si>
  <si>
    <t>C11.2</t>
  </si>
  <si>
    <t>NON-STRUCTURAL GABIONS</t>
  </si>
  <si>
    <t>ROAD RESTRAINT SYSTEMS</t>
  </si>
  <si>
    <t>C11.4</t>
  </si>
  <si>
    <r>
      <t>Area 0 to 0,5 m</t>
    </r>
    <r>
      <rPr>
        <sz val="10"/>
        <rFont val="Calibri"/>
        <family val="2"/>
      </rPr>
      <t>²</t>
    </r>
  </si>
  <si>
    <r>
      <t>Area exceeding 0,5 m2 but not 2,0 m</t>
    </r>
    <r>
      <rPr>
        <sz val="10"/>
        <rFont val="Calibri"/>
        <family val="2"/>
      </rPr>
      <t>²</t>
    </r>
  </si>
  <si>
    <r>
      <t>Area exceeding 2,0 m2 but not 10 m</t>
    </r>
    <r>
      <rPr>
        <sz val="10"/>
        <rFont val="Calibri"/>
        <family val="2"/>
      </rPr>
      <t>²</t>
    </r>
  </si>
  <si>
    <r>
      <t>Exceeding 2,0 m2 but not 10 m</t>
    </r>
    <r>
      <rPr>
        <sz val="10"/>
        <rFont val="Calibri"/>
        <family val="2"/>
      </rPr>
      <t>²</t>
    </r>
  </si>
  <si>
    <r>
      <t>m</t>
    </r>
    <r>
      <rPr>
        <vertAlign val="superscript"/>
        <sz val="9"/>
        <rFont val="Arial"/>
        <family val="2"/>
      </rPr>
      <t>2</t>
    </r>
  </si>
  <si>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</si>
  <si>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</si>
  <si>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</si>
  <si>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</si>
  <si>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</si>
  <si>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</si>
  <si>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</si>
  <si>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</si>
  <si>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</si>
  <si>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</si>
  <si>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</si>
  <si>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</si>
  <si>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(a.v)</t>
  </si>
  <si>
    <t>(a.vi)</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</si>
  <si>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</si>
  <si>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</si>
  <si>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</si>
  <si>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</si>
  <si>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</si>
  <si>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</si>
  <si>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</si>
  <si>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</si>
  <si>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</si>
  <si>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</si>
  <si>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</si>
  <si>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</si>
  <si>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</si>
  <si>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</si>
  <si>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</si>
  <si>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</si>
  <si>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</si>
  <si>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</si>
  <si>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</si>
  <si>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</si>
  <si>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</si>
  <si>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</si>
  <si>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5 Targeted Enterprise subcontractor (40 copies of the tender document required for each individual tender)</t>
  </si>
  <si>
    <t>Procurement process for the appointment of CIDB contractor grading designation 6 Targeted Enterprise subcontractor (40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</si>
  <si>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</si>
  <si>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</si>
  <si>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</si>
  <si>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</si>
  <si>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</si>
  <si>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</si>
  <si>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</si>
  <si>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</si>
  <si>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</si>
  <si>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</si>
  <si>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</si>
  <si>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</si>
  <si>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</si>
  <si>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</si>
  <si>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</si>
  <si>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Summary Pages:</t>
  </si>
  <si>
    <t>A</t>
  </si>
  <si>
    <t>Contract Duration</t>
  </si>
  <si>
    <t>Months</t>
  </si>
  <si>
    <t>Roads</t>
  </si>
  <si>
    <t>Start Chainage</t>
  </si>
  <si>
    <t>End Chainage</t>
  </si>
  <si>
    <t>Total Distance</t>
  </si>
  <si>
    <t>Road Type</t>
  </si>
  <si>
    <t>P</t>
  </si>
  <si>
    <t>Road Width</t>
  </si>
  <si>
    <t>D</t>
  </si>
  <si>
    <t>L</t>
  </si>
  <si>
    <t>Distance to Quarry</t>
  </si>
  <si>
    <t xml:space="preserve"> </t>
  </si>
  <si>
    <t>Note: The combined total tendered for subitems C1.3.1.1 and C1.3.1.3 shall not exceed 15% of the Tender Sum (excluding contingencies, CPA and VAT).</t>
  </si>
  <si>
    <t>Loading from stockpile using machines and some hand labour where necessary</t>
  </si>
  <si>
    <t>Clearing, shaping and disposal of accumulated sediment in existing unlined open drains</t>
  </si>
  <si>
    <t>Extra over sub-item C3.2.1.1 for excavation in hard or boulder material, irrespective of depth</t>
  </si>
  <si>
    <t>From commercial sources (G6)</t>
  </si>
  <si>
    <t>Provision of skew ends of pipe culvert (Class 100D)</t>
  </si>
  <si>
    <t>Benching</t>
  </si>
  <si>
    <t>Preparation and compaction of in situ bedding material to 90 % of MDD (150mm Deep)</t>
  </si>
  <si>
    <t xml:space="preserve">Prefabricated kerbing </t>
  </si>
  <si>
    <t xml:space="preserve">Prefabricated kerbing-channeling </t>
  </si>
  <si>
    <t>(i) 2,0m long x 1,0m wide x 1,0m deep (mesh size 80mm x 100mm, with 2,7mm OD frame wire &amp; 2,2mm OD mesh wire)</t>
  </si>
  <si>
    <t>(i) 6,0m long x 2,0m wide x 0,3m deep (mesh size 80mm x 100mm, with 2,5mm OD frame wire and 2,2m OD mesh wire, diaphragm spacing 1,0m)</t>
  </si>
  <si>
    <t>Geotextile (Nonwoven continious filament needle punched geotextile grade A4)</t>
  </si>
  <si>
    <t>On timber posts (Drawing SD 1101/B)</t>
  </si>
  <si>
    <t>End treatments where single guardrail sections are specified (As per drawing SD 1102/A)</t>
  </si>
  <si>
    <t>End treatments where double guardrail sections are specified (As per drawing SD 1102/A)</t>
  </si>
  <si>
    <t xml:space="preserve">Timber </t>
  </si>
  <si>
    <t>(i) 125 mm diameter - CCA Treated</t>
  </si>
  <si>
    <t>(ii) 150 mm diameter - CCA Treated</t>
  </si>
  <si>
    <t>White lines broken or unbroken (Retro-reflective road-marking paint)</t>
  </si>
  <si>
    <t>(i) 100 mm wide</t>
  </si>
  <si>
    <t>(ii) 200 mm wide</t>
  </si>
  <si>
    <t>Yellow lines broken or unbroken (Retro-reflective road-marking paint)</t>
  </si>
  <si>
    <t>Red lines broken or unbroken (Retro-reflective road-marking paint)</t>
  </si>
  <si>
    <t>Labour enhanced hand painted white lettering and symbols (Retro-reflective road-marking paint)</t>
  </si>
  <si>
    <t>Labour enhanced hand painted yellow lettering and symbols (Retro-reflective road-marking paint)</t>
  </si>
  <si>
    <t>Labour enhanced hand painted transverse lines, painted island and arrestor bed markings (any colour) (Retro-reflective road-marking paint)</t>
  </si>
  <si>
    <t>(a) 100 mm x 100 mm x 20 mm high, plastic stick­on type with 43-bead glass reflectors (bi­directional type, any colour)</t>
  </si>
  <si>
    <t>Permanent road studs compliant to SANS 1463</t>
  </si>
  <si>
    <t>C1.5</t>
  </si>
  <si>
    <t>DETERMINATION OF CPG SHARE AND LABOUR INTENSITY</t>
  </si>
  <si>
    <t>1CE PE</t>
  </si>
  <si>
    <t>2CE PE</t>
  </si>
  <si>
    <t>3CE PE</t>
  </si>
  <si>
    <t>4CE PE</t>
  </si>
  <si>
    <t>5CE PE</t>
  </si>
  <si>
    <t>6CE PE</t>
  </si>
  <si>
    <t>SECTION</t>
  </si>
  <si>
    <t>CPG SHARE</t>
  </si>
  <si>
    <r>
      <t xml:space="preserve">CPG AMOUNT
</t>
    </r>
    <r>
      <rPr>
        <sz val="9"/>
        <rFont val="Arial"/>
        <family val="2"/>
      </rPr>
      <t>(excl. overheads)</t>
    </r>
  </si>
  <si>
    <t>LABOUR INTENSIVE AMT</t>
  </si>
  <si>
    <t>% of Section</t>
  </si>
  <si>
    <t>% of Total</t>
  </si>
  <si>
    <t>R0,50 m</t>
  </si>
  <si>
    <t>R1.00 m</t>
  </si>
  <si>
    <t>R3,00 m</t>
  </si>
  <si>
    <t>R6,00 m</t>
  </si>
  <si>
    <t>R10.00 m</t>
  </si>
  <si>
    <t>R20,00 m</t>
  </si>
  <si>
    <t>TOTAL SCHEDULE A : ROADWORKS</t>
  </si>
  <si>
    <t>TOTAL SCHEDULE B : STRUCTURES</t>
  </si>
  <si>
    <t>TOTAL SCHEDULE D : DAYWORKS</t>
  </si>
  <si>
    <t>TOTAL SCHEDULE F: EXPANDED PUBLIC WORKS PROGRAMME</t>
  </si>
  <si>
    <t>SUBTOTAL: SCHEDULE A, B, D &amp; F (incl items to be allocated to CPG)</t>
  </si>
  <si>
    <t>Projected amount for to CPG contractors &amp; materials</t>
  </si>
  <si>
    <t xml:space="preserve">Projected Labour Amount:  </t>
  </si>
  <si>
    <t>Employer's Generic Target CPG Amount:</t>
  </si>
  <si>
    <t xml:space="preserve">Subtotal 1:  </t>
  </si>
  <si>
    <t>The Projected CPG amount is well within the minimum target.</t>
  </si>
  <si>
    <t>Employment Oppertunities</t>
  </si>
  <si>
    <t>Unskilled</t>
  </si>
  <si>
    <t>Skilled (20%)</t>
  </si>
  <si>
    <t xml:space="preserve">(i) Prime cost sum for EPWP branding     </t>
  </si>
  <si>
    <t xml:space="preserve">(ii) Handling costs and profit in respect of sub item F5.03(f)(i)above </t>
  </si>
  <si>
    <t xml:space="preserve"> EPWP Branding (refer to spec)</t>
  </si>
  <si>
    <t>OLD</t>
  </si>
  <si>
    <t>Subtotal 1</t>
  </si>
  <si>
    <t>Subtotal 2</t>
  </si>
  <si>
    <t>Subtotal 3</t>
  </si>
  <si>
    <t>Single sided, reversible left or right (1000mm x 250mm)</t>
  </si>
  <si>
    <t>Double sided, reversible left or right (1000 mm x 250mm)</t>
  </si>
  <si>
    <t>SUMMARY OF SECTIONS</t>
  </si>
  <si>
    <t>Contingencies:</t>
  </si>
  <si>
    <t>CPA:</t>
  </si>
  <si>
    <t xml:space="preserve">Signed on behalf of the Tenderer: ……………………………………………………. (Signature)
Date: …………………………………………………..
Tenderer’s Name: ………………………………………………………………. (Company Name)
</t>
  </si>
  <si>
    <t>TOTAL SCHEDULE F: CONTRACT PARTICIPATION GOALS</t>
  </si>
  <si>
    <t>Summary</t>
  </si>
  <si>
    <t>LI Rate</t>
  </si>
  <si>
    <t>LI Amount</t>
  </si>
  <si>
    <t>LI Calculation</t>
  </si>
  <si>
    <t>LI Comments</t>
  </si>
  <si>
    <t>Labour Rate /hr</t>
  </si>
  <si>
    <t>Hrs /day</t>
  </si>
  <si>
    <t>Labour Rate /day</t>
  </si>
  <si>
    <t>Item</t>
  </si>
  <si>
    <t>Unit</t>
  </si>
  <si>
    <t>Rate</t>
  </si>
  <si>
    <t>Reference</t>
  </si>
  <si>
    <t>Productivity</t>
  </si>
  <si>
    <t>Haulage R/m/m³</t>
  </si>
  <si>
    <t>_HaulPerMetre</t>
  </si>
  <si>
    <t xml:space="preserve">70sec/0.06m³/50m             </t>
  </si>
  <si>
    <t xml:space="preserve">[LR x 70 / 60 / 60 / 0.06]                   </t>
  </si>
  <si>
    <t>Haulage Dist (m)</t>
  </si>
  <si>
    <r>
      <t>Haulage R/m</t>
    </r>
    <r>
      <rPr>
        <sz val="10"/>
        <rFont val="Calibri"/>
        <family val="2"/>
      </rPr>
      <t>³</t>
    </r>
  </si>
  <si>
    <t>_Haul</t>
  </si>
  <si>
    <r>
      <t>Concrete Mix (R/m</t>
    </r>
    <r>
      <rPr>
        <sz val="10"/>
        <rFont val="Calibri"/>
        <family val="2"/>
      </rPr>
      <t>³</t>
    </r>
    <r>
      <rPr>
        <sz val="10"/>
        <rFont val="Arial"/>
        <family val="2"/>
      </rPr>
      <t>)</t>
    </r>
  </si>
  <si>
    <t>_Mix</t>
  </si>
  <si>
    <t xml:space="preserve">105 mins/m³ (7pkts mix/m³) [105 / 60 x LR x 5] </t>
  </si>
  <si>
    <t>Conc. Place &amp; Compact</t>
  </si>
  <si>
    <t>_Place</t>
  </si>
  <si>
    <t>Same rate as for mixing by hand</t>
  </si>
  <si>
    <t>Brick walling</t>
  </si>
  <si>
    <r>
      <t>m</t>
    </r>
    <r>
      <rPr>
        <sz val="10"/>
        <rFont val="Arial"/>
        <family val="2"/>
      </rPr>
      <t>²</t>
    </r>
  </si>
  <si>
    <t>_Brickwork</t>
  </si>
  <si>
    <t>5 m²/day for 4 labour-equivalent</t>
  </si>
  <si>
    <t>Soft Excavation (incl. haul)</t>
  </si>
  <si>
    <t>_Excavation</t>
  </si>
  <si>
    <t>2.5m³ /day + haul: 70sec/0.06m³/50m</t>
  </si>
  <si>
    <t>Compaction (hand stamper)</t>
  </si>
  <si>
    <t>_Stamp</t>
  </si>
  <si>
    <t>5m² /hr @ 100mm deep</t>
  </si>
  <si>
    <t>Compactoin (wacker)</t>
  </si>
  <si>
    <t>_Wacker</t>
  </si>
  <si>
    <t>20m² /hr @ 150mm deep</t>
  </si>
  <si>
    <t>Spread (e.g. stone)</t>
  </si>
  <si>
    <t>_Spread</t>
  </si>
  <si>
    <t>8m³ / man / hour</t>
  </si>
  <si>
    <t>_Plaster</t>
  </si>
  <si>
    <r>
      <t>(Team = 1 Artisan + 2 Labour = 4 Labour equivalent) @ 25m</t>
    </r>
    <r>
      <rPr>
        <sz val="10"/>
        <rFont val="Arial"/>
        <family val="2"/>
      </rPr>
      <t>² /day</t>
    </r>
  </si>
  <si>
    <t>_Benching</t>
  </si>
  <si>
    <t>(Team = 1 Artisan + 2 Labour = 4 Labour equivalent) @ 15m² /day</t>
  </si>
  <si>
    <t>Clearing and grubbing</t>
  </si>
  <si>
    <t>_Clearing</t>
  </si>
  <si>
    <t>10m² /hr</t>
  </si>
  <si>
    <t>Backfill (incl wacker)</t>
  </si>
  <si>
    <t>_Backfill</t>
  </si>
  <si>
    <r>
      <t>10m</t>
    </r>
    <r>
      <rPr>
        <sz val="10"/>
        <rFont val="Arial"/>
        <family val="2"/>
      </rPr>
      <t>³</t>
    </r>
    <r>
      <rPr>
        <sz val="10"/>
        <rFont val="Arial"/>
        <family val="2"/>
      </rPr>
      <t xml:space="preserve"> /day + wacker</t>
    </r>
  </si>
  <si>
    <t>Formwork (std shutters)</t>
  </si>
  <si>
    <t>_Formwork</t>
  </si>
  <si>
    <t>3 man hours/m²</t>
  </si>
  <si>
    <t>Weld Mesh</t>
  </si>
  <si>
    <t>_Mesh</t>
  </si>
  <si>
    <t>100 man hours / ton</t>
  </si>
  <si>
    <t>Polyethylene Sheeting</t>
  </si>
  <si>
    <t>_Sheeting</t>
  </si>
  <si>
    <t>5min /m²</t>
  </si>
  <si>
    <t>Filter Fabric</t>
  </si>
  <si>
    <t>_Geofabric</t>
  </si>
  <si>
    <t>2 man team 4min per m² [(LR x 2men x 4min / 60min)]</t>
  </si>
  <si>
    <t>Subsoil Pipe</t>
  </si>
  <si>
    <t>_Subsoil</t>
  </si>
  <si>
    <t>2 man team 15min per pipe [(LR x 2men x 15min / 60min) / 2.5m]</t>
  </si>
  <si>
    <t>Expansion Joints (sealed)</t>
  </si>
  <si>
    <t>_Expansion</t>
  </si>
  <si>
    <t>20m / 5 man hours/m [5/20 x LR]</t>
  </si>
  <si>
    <t>Kerb bedding &amp; laying</t>
  </si>
  <si>
    <t>_Kerb</t>
  </si>
  <si>
    <t>[Concrete x0.3m wide x0.075 deep)] + [70m kerbs/team/day (team of 4-equivalent)]</t>
  </si>
  <si>
    <t>Kerb &amp; channel</t>
  </si>
  <si>
    <t>_KandC</t>
  </si>
  <si>
    <t>Excavation (0.5m x 0.1m) + Concrete (0.5m x 0.1m) + Kerb</t>
  </si>
  <si>
    <t>Gabion</t>
  </si>
  <si>
    <t>_Gabion</t>
  </si>
  <si>
    <t>1m³/man/day</t>
  </si>
  <si>
    <t>Guardrail Posts</t>
  </si>
  <si>
    <t>No.</t>
  </si>
  <si>
    <t>_GPost</t>
  </si>
  <si>
    <t>8 posts /team/day (4-equivalent team)</t>
  </si>
  <si>
    <t>Guardrail Erection</t>
  </si>
  <si>
    <t>_GRail</t>
  </si>
  <si>
    <t>26m/team/day [LR x 9 x 4 / 26]</t>
  </si>
  <si>
    <t>Road Sign &amp; Pole Erect</t>
  </si>
  <si>
    <t>_Sign</t>
  </si>
  <si>
    <r>
      <t>2 hours per sign per team (4-equivalent) (up to 2m</t>
    </r>
    <r>
      <rPr>
        <sz val="10"/>
        <rFont val="Calibri"/>
        <family val="2"/>
      </rPr>
      <t>²</t>
    </r>
    <r>
      <rPr>
        <sz val="10"/>
        <rFont val="Arial"/>
        <family val="2"/>
      </rPr>
      <t xml:space="preserve"> size)</t>
    </r>
  </si>
  <si>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</si>
  <si>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</si>
  <si>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</si>
  <si>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</si>
  <si>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</si>
  <si>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</si>
  <si>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</si>
  <si>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</si>
  <si>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</si>
  <si>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</si>
  <si>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</si>
  <si>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t>P.S.C 1.6.11</t>
  </si>
  <si>
    <t>(v) Chemical treatment of tree stumps with chemical</t>
  </si>
  <si>
    <t>Removal and grubbing of trees and tree stumps:</t>
  </si>
  <si>
    <t>C1.2.3</t>
  </si>
  <si>
    <t>C1.2.3.1</t>
  </si>
  <si>
    <t>C1.2.3.2</t>
  </si>
  <si>
    <t>C1.2.3.4</t>
  </si>
  <si>
    <t>Collection of rubbish / litter</t>
  </si>
  <si>
    <t>C3.1.22</t>
  </si>
  <si>
    <t>Test flushing of subsoil drain pipe systems</t>
  </si>
  <si>
    <t>P.S.C 3.1.25</t>
  </si>
  <si>
    <t xml:space="preserve">Reshape and cut side and mitre drains </t>
  </si>
  <si>
    <t>In inlet and outlet structures including kerbs, chutes and downpipes, skewed ends, catchpits, manholes, thrust and anchor blocks, excluding formwork but including Class U2 surfacing finish (30MPa)</t>
  </si>
  <si>
    <t>Welded steel fabric (Ref 245)</t>
  </si>
  <si>
    <t>Concrete edge beams (30 MPa)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</si>
  <si>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</si>
  <si>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</si>
  <si>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</si>
  <si>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</si>
  <si>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</si>
  <si>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</si>
  <si>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</si>
  <si>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</si>
  <si>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</si>
  <si>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</si>
  <si>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</si>
  <si>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</si>
  <si>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</si>
  <si>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</si>
  <si>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</si>
  <si>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</si>
  <si>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</si>
  <si>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</si>
  <si>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</si>
  <si>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</si>
  <si>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</si>
  <si>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</si>
  <si>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</si>
  <si>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</si>
  <si>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</si>
  <si>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</si>
  <si>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</si>
  <si>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</si>
  <si>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</si>
  <si>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</si>
  <si>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</si>
  <si>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</si>
  <si>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</si>
  <si>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</si>
  <si>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</si>
  <si>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</si>
  <si>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</si>
  <si>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</si>
  <si>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</si>
  <si>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</si>
  <si>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</si>
  <si>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</si>
  <si>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</si>
  <si>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Sealing using (Class C-E1 modified binder crack sealant)</t>
  </si>
  <si>
    <t>Bullnoses to SANS 1350</t>
  </si>
  <si>
    <t>Bridge adapters to SANS 1350</t>
  </si>
  <si>
    <t>C11.4.9</t>
  </si>
  <si>
    <t>Re-erection of guardrails with recovered or provided material:</t>
  </si>
  <si>
    <t>C11.4.9.1</t>
  </si>
  <si>
    <t>Single guardrail</t>
  </si>
  <si>
    <t>C11.4.9.3</t>
  </si>
  <si>
    <t>Extra over C11.4.9.1 and C11.4.9.2 for excavating holes of posts using labour enhanced methods</t>
  </si>
  <si>
    <t>C11.4.10</t>
  </si>
  <si>
    <t>End treatments to existing guardrails with recovered or provided material:</t>
  </si>
  <si>
    <t>C11.4.10.1</t>
  </si>
  <si>
    <t>End wings</t>
  </si>
  <si>
    <t>C11.4.10.2</t>
  </si>
  <si>
    <t>Bullnoses</t>
  </si>
  <si>
    <t>Bridge adaptors</t>
  </si>
  <si>
    <t>C11.4.10.4</t>
  </si>
  <si>
    <t>End treatments with single guardrails</t>
  </si>
  <si>
    <t>C11.4.11.4</t>
  </si>
  <si>
    <t>C11.4.11.5</t>
  </si>
  <si>
    <t>Spacer blocks compliant to SANS 457</t>
  </si>
  <si>
    <t>C11.4.11.6</t>
  </si>
  <si>
    <t>Splice bolt complete with nut and washer compliant to SANS 1350</t>
  </si>
  <si>
    <t>C11.4.11.7</t>
  </si>
  <si>
    <t>Post bolt complete with nut and washer compliant to SANS 1350</t>
  </si>
  <si>
    <t>C11.4.11</t>
  </si>
  <si>
    <t>New material required for the re-erection guardrails with recovered materials:</t>
  </si>
  <si>
    <t>C11.4.11.1</t>
  </si>
  <si>
    <t>Guardrails, 3,81 m compliant to SANS 1350</t>
  </si>
  <si>
    <t>C11.4.11.2</t>
  </si>
  <si>
    <t>Timber posts compliant to SANS 457</t>
  </si>
  <si>
    <t>C11.4.11.3</t>
  </si>
  <si>
    <t>Steel posts</t>
  </si>
  <si>
    <t>C11.4.15</t>
  </si>
  <si>
    <t>Disposal of existing guardrails</t>
  </si>
  <si>
    <t>End treatments with double guardrails</t>
  </si>
  <si>
    <t xml:space="preserve">CHEMICAL CONTROL OF UNDESIRABLE VEGETATION </t>
  </si>
  <si>
    <t>Chemical control of  undersirable vegetation.</t>
  </si>
  <si>
    <t xml:space="preserve">(a) Shoulder weed-spray 300 mm wide </t>
  </si>
  <si>
    <t/>
  </si>
  <si>
    <t>(b) Under guardrails 500 mm wide</t>
  </si>
  <si>
    <t>(c) Openings, cracks, joints 100mm wide</t>
  </si>
  <si>
    <t>(d) Around poles, kilometer markers, road singns, and guard rail posts. The area around the signs and kilometre posts are required to be a 2 m radius.</t>
  </si>
  <si>
    <t>(e) Block paved  and other paved areas</t>
  </si>
  <si>
    <t xml:space="preserve">(f) Along the road reserve </t>
  </si>
  <si>
    <t xml:space="preserve">(i) Isolated areas  </t>
  </si>
  <si>
    <t>(ii) Dense areas ( areas more than 20% infested)</t>
  </si>
  <si>
    <t>C9.1</t>
  </si>
  <si>
    <t>ASPHALT LAYERS</t>
  </si>
  <si>
    <t>C9.1.1</t>
  </si>
  <si>
    <t>Asphalt mix designs</t>
  </si>
  <si>
    <t>C9.1.3</t>
  </si>
  <si>
    <t>Application of bond coat</t>
  </si>
  <si>
    <t>C9.1.3.2</t>
  </si>
  <si>
    <t>C9.1.3.3</t>
  </si>
  <si>
    <t>Applied by hand using brushes on all exposed transverse and longitudinal construction joints</t>
  </si>
  <si>
    <t>C13.8</t>
  </si>
  <si>
    <t>C13.8.5</t>
  </si>
  <si>
    <t>Steel railings (Bridge Hand Rails)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</si>
  <si>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</si>
  <si>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</si>
  <si>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</si>
  <si>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</si>
  <si>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</si>
  <si>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</si>
  <si>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</si>
  <si>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</si>
  <si>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</si>
  <si>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C3.1.3</t>
  </si>
  <si>
    <t>Excavation, clearing and disposal of accumulated sediment in existing  lined drains and drainage systems</t>
  </si>
  <si>
    <t>C3.1.3.3</t>
  </si>
  <si>
    <t>Manholes and inlet and outlet structures</t>
  </si>
  <si>
    <t>Culvert barrels</t>
  </si>
  <si>
    <t>TOTAL CARRIED TO SUMMARY</t>
  </si>
  <si>
    <t>P.S.C 15.1</t>
  </si>
  <si>
    <t>P.S.C.15.1.1</t>
  </si>
  <si>
    <t>Welded steel fabric</t>
  </si>
  <si>
    <t>On Class C bedding Class 100D</t>
  </si>
  <si>
    <t>(i) White 100 mm wide</t>
  </si>
  <si>
    <t>(ii) White 200 mm wide</t>
  </si>
  <si>
    <t>(iii) Yellow 100 mm wide</t>
  </si>
  <si>
    <t>(iv) Red 100 mm wide</t>
  </si>
  <si>
    <t>C11.7.3.3</t>
  </si>
  <si>
    <t>Reduced payment for thermoplastic road marking, white lines, broken or unbroken:</t>
  </si>
  <si>
    <t>C11.7.3.4</t>
  </si>
  <si>
    <t>Reduced payment for thermoplastic road marking, yellow lines, broken or unbroken:</t>
  </si>
  <si>
    <t>Rumble strips as per SD0314/A</t>
  </si>
  <si>
    <t>Speed Control Humps as per SD0314/A</t>
  </si>
  <si>
    <t>PSC1.2.8</t>
  </si>
  <si>
    <t>Dayworks:</t>
  </si>
  <si>
    <t>C1.2.8.1</t>
  </si>
  <si>
    <t>Personnel:</t>
  </si>
  <si>
    <t>(a) Unskilled labourer</t>
  </si>
  <si>
    <t>h</t>
  </si>
  <si>
    <t>(b) Semi-skilled labourer</t>
  </si>
  <si>
    <t>(c) Skilled labourer</t>
  </si>
  <si>
    <t>(d) Gang leader</t>
  </si>
  <si>
    <t>(e) Foreman</t>
  </si>
  <si>
    <t>C1.2.8.2</t>
  </si>
  <si>
    <t>Construction equipment (specify size and / or model number):</t>
  </si>
  <si>
    <t>(a) Motor grader</t>
  </si>
  <si>
    <t>(b) Vibratory roller</t>
  </si>
  <si>
    <t>(c) Pneumatic roller</t>
  </si>
  <si>
    <t>(d) Front end loader</t>
  </si>
  <si>
    <t>(e) Tractor loader backhoe</t>
  </si>
  <si>
    <t>(f) Excavator</t>
  </si>
  <si>
    <t>C1.2.8.3</t>
  </si>
  <si>
    <t>Vehicles (specify size):</t>
  </si>
  <si>
    <t>(a) Light delivery vehicle</t>
  </si>
  <si>
    <t>(b) Flatbed truck</t>
  </si>
  <si>
    <t>(c) Dump truck</t>
  </si>
  <si>
    <t>Routine road maintenance of existing public roads within the Site of the Works or other public roads outside the Site of the Works which are used as detours</t>
  </si>
  <si>
    <t xml:space="preserve">C1.2.3.3 </t>
  </si>
  <si>
    <t xml:space="preserve">Grass cutting </t>
  </si>
  <si>
    <t xml:space="preserve"> Drain cleaning </t>
  </si>
  <si>
    <t xml:space="preserve">Cleaning out culverts </t>
  </si>
  <si>
    <t>m3</t>
  </si>
  <si>
    <t xml:space="preserve">(d) Other vehicles </t>
  </si>
  <si>
    <t>(i) Lowbed Transporter (Min. Ton)</t>
  </si>
  <si>
    <t>C1.5.7.5</t>
  </si>
  <si>
    <t>Provision of illuminated traffic signs</t>
  </si>
  <si>
    <t>(c) Road signs, R &amp; TR-series, 900mm dia</t>
  </si>
  <si>
    <t>(d) Road signs, TW series C1.2mm</t>
  </si>
  <si>
    <t>C1.5.7.6</t>
  </si>
  <si>
    <t>Maintenance of illuminated traffic signs</t>
  </si>
  <si>
    <t>(d) lluminated road sign – TW series (length of sides indicated)</t>
  </si>
  <si>
    <t>(c) lluminated road sign – R &amp; TR series (diameter indicated)</t>
  </si>
  <si>
    <t>C1.5.12.1</t>
  </si>
  <si>
    <t>Provision of additional traffic accommodation facilities</t>
  </si>
  <si>
    <t>C1.5.12.2</t>
  </si>
  <si>
    <t>Handling cost, profit and all other charges in respect of item C1.5.12.1</t>
  </si>
  <si>
    <t>C1.6.1.3</t>
  </si>
  <si>
    <t>Clearing for new fence lines (over a width of 2,0 m)</t>
  </si>
  <si>
    <t>C1.6.1.4</t>
  </si>
  <si>
    <t>Clearing for service trenches (over the agreed width required)</t>
  </si>
  <si>
    <t>C1.6.2.3</t>
  </si>
  <si>
    <t>Grubbing by hand for new fence lines (over a width of 2,0 m)</t>
  </si>
  <si>
    <t>C1.6.2.4</t>
  </si>
  <si>
    <t>Grubbing by hand for service trenches (over the agreed width required)</t>
  </si>
  <si>
    <t>C1.6.3</t>
  </si>
  <si>
    <t>C1.6.3.1</t>
  </si>
  <si>
    <t>Girth equal to or exceeding 1,0 m up to and including 2,0 m</t>
  </si>
  <si>
    <t>C1.6.3.2</t>
  </si>
  <si>
    <t>Girth exceeding 2,0 m up to and including 3,0 m</t>
  </si>
  <si>
    <t>C1.6.3.3</t>
  </si>
  <si>
    <t>Girth exceeding 3,0 m</t>
  </si>
  <si>
    <t>C1.6.7</t>
  </si>
  <si>
    <t>Re-clearing of previously cleared areas</t>
  </si>
  <si>
    <t>C2.1</t>
  </si>
  <si>
    <t>GENERAL REQUIREMENTS AND TRENCHING FOR SERVICES</t>
  </si>
  <si>
    <t>C2.1.1</t>
  </si>
  <si>
    <t>Location, identification, protection and relocation of existing services</t>
  </si>
  <si>
    <t>C2.1.1.1</t>
  </si>
  <si>
    <t>Contractor’s obligations</t>
  </si>
  <si>
    <t>C2.1.1.2</t>
  </si>
  <si>
    <t>Permanent services relocation or protection work by others</t>
  </si>
  <si>
    <t>C2.1.1.3</t>
  </si>
  <si>
    <t>Handling costs and profit in respect of item C2.1.1.2 above</t>
  </si>
  <si>
    <t>C3.1.1</t>
  </si>
  <si>
    <t>Excavation for open drains:</t>
  </si>
  <si>
    <t>C3.1.1.1</t>
  </si>
  <si>
    <t>Excavating soft material situated within the following depth ranges below the surface level:</t>
  </si>
  <si>
    <t>(a) 0 m up to 1,5 m</t>
  </si>
  <si>
    <t>C3.1.1.4</t>
  </si>
  <si>
    <t>Excavating soft material situated 0 m to 1,5 m below the surface level using labour enhanced construction methods</t>
  </si>
  <si>
    <t>C3.1.2.2</t>
  </si>
  <si>
    <t>Using labour enhanced construction methods</t>
  </si>
  <si>
    <t>C3.1.3.1</t>
  </si>
  <si>
    <t>Using conventional methods (up to 1,5 m):</t>
  </si>
  <si>
    <t>Concrete or other lined side drains</t>
  </si>
  <si>
    <t>Using labour enhanced construction methods:</t>
  </si>
  <si>
    <t>C3.1.4</t>
  </si>
  <si>
    <t>Excavation and disposal of material for subsoil drainage systems:</t>
  </si>
  <si>
    <t>C3.1.4.1</t>
  </si>
  <si>
    <t>Excavating in all material situated within the following depth ranges below the surface:</t>
  </si>
  <si>
    <t>(a) 0 m to 1,5 m</t>
  </si>
  <si>
    <t>C3.1.5</t>
  </si>
  <si>
    <t>Impermeable backfilling to subsoil drainage systems</t>
  </si>
  <si>
    <t xml:space="preserve">C3.1.5.2 </t>
  </si>
  <si>
    <t>G5 material obtained from commercial sources</t>
  </si>
  <si>
    <t xml:space="preserve">C3.1.5.3 </t>
  </si>
  <si>
    <t>Extra over items C3.1.5.2 for stabilisation with 4,0 % CEM II (32.5) cemen</t>
  </si>
  <si>
    <t>C3.1.7</t>
  </si>
  <si>
    <t>Natural permeable material in subsoil drainage systems (approved crushed stone)</t>
  </si>
  <si>
    <t>C3.1.7.2</t>
  </si>
  <si>
    <t>Crushed stone obtained from commercial sources (19 mm crushed stone)</t>
  </si>
  <si>
    <t>C3.1.8</t>
  </si>
  <si>
    <t>Natural permeable material in subsoil drainage systems (approved natural sand):</t>
  </si>
  <si>
    <t xml:space="preserve">C3.1.8.2 </t>
  </si>
  <si>
    <t>Natural sand from commercial sources (Coarse Sand)</t>
  </si>
  <si>
    <t>C3.1.9</t>
  </si>
  <si>
    <t>Pipes in subsoil drainage systems:</t>
  </si>
  <si>
    <t>C3.1.9.1</t>
  </si>
  <si>
    <t>U-PVC pipes and fittings, normal duty, complete with couplings (100 mm dia perforated)</t>
  </si>
  <si>
    <t>C3.1.11</t>
  </si>
  <si>
    <t>Geotextiles (A14 Nonwoven)</t>
  </si>
  <si>
    <t>m2</t>
  </si>
  <si>
    <t>C3.1.13</t>
  </si>
  <si>
    <t>Concrete outlet structures, manhole boxes, junction boxes and cleaning eyes for subsoil drainage systems:</t>
  </si>
  <si>
    <t>C3.1.13.1</t>
  </si>
  <si>
    <t>Outlet structures (specify each type and drawing reference)</t>
  </si>
  <si>
    <t>C3.1.13.2</t>
  </si>
  <si>
    <t>Inspection boxes (specify each type and drawing reference)</t>
  </si>
  <si>
    <t>C3.1.13.3</t>
  </si>
  <si>
    <t>Junction boxes (specify each type and drawing reference)</t>
  </si>
  <si>
    <t>C3.1.13.4</t>
  </si>
  <si>
    <t>Cleaning eyes (specify each type and drawing reference)</t>
  </si>
  <si>
    <t>C3.1.14</t>
  </si>
  <si>
    <t>Caps for subsoil drain pipes:</t>
  </si>
  <si>
    <t xml:space="preserve">C3.1.14.3 </t>
  </si>
  <si>
    <t xml:space="preserve">Other (PVC ) </t>
  </si>
  <si>
    <t>Provisional Sum</t>
  </si>
  <si>
    <t>C3.1.17</t>
  </si>
  <si>
    <t>Backfilling existing eroded side drains</t>
  </si>
  <si>
    <t>C3.1.18</t>
  </si>
  <si>
    <t>Backfilling of drains with selected material compacted to 93 % of MDD prior to construction of concrete lining and/or stone pitched lining</t>
  </si>
  <si>
    <t>C3.1.21</t>
  </si>
  <si>
    <t>Clearing of existing subsoil drains</t>
  </si>
  <si>
    <t xml:space="preserve">C3.1.21.1 </t>
  </si>
  <si>
    <t>Cleaning rod, brush and flushing</t>
  </si>
  <si>
    <t>C3.1.21.2</t>
  </si>
  <si>
    <t>Hydro jetting</t>
  </si>
  <si>
    <t>(ii) 900 mm Diamete (Socket)</t>
  </si>
  <si>
    <t>(i) 600 mm Diameter (Socket)</t>
  </si>
  <si>
    <t>C3.2.6</t>
  </si>
  <si>
    <t>Extra over items C3.2.3, for constructing inclined culverts</t>
  </si>
  <si>
    <t>Formwork of concrete under items C3.2.7.5 above (F1 finish )</t>
  </si>
  <si>
    <t>C3.2.12</t>
  </si>
  <si>
    <t>Demolition of concrete members or elements:</t>
  </si>
  <si>
    <t>C3.2.12.1</t>
  </si>
  <si>
    <t>Full member or element (existing catpits and precast pipes)</t>
  </si>
  <si>
    <t>C3.2.18</t>
  </si>
  <si>
    <t>C3.2.19</t>
  </si>
  <si>
    <t>Accessories:</t>
  </si>
  <si>
    <t>C3.2.19.1</t>
  </si>
  <si>
    <t>Manhole frames (description and reference to drawing)</t>
  </si>
  <si>
    <t>C3.2.19.2</t>
  </si>
  <si>
    <t>Inlet grids or covers (description and reference to drawing)</t>
  </si>
  <si>
    <t>C3.2.19.3</t>
  </si>
  <si>
    <t>Manhole frames (type, load bearing and SANS specification indicated</t>
  </si>
  <si>
    <t>C3.2.19.4</t>
  </si>
  <si>
    <t>Manhole covers or gratings (type, load bearing and SANS specification indicated)</t>
  </si>
  <si>
    <t>C3.2.19.5</t>
  </si>
  <si>
    <t>Inlet channel frames (type, load bearing and SANS specification indicated)</t>
  </si>
  <si>
    <t>C3.2.19.6</t>
  </si>
  <si>
    <t>Inlet channel gratings (type, load bearing and SANS specification indicated</t>
  </si>
  <si>
    <t>C3.2.22</t>
  </si>
  <si>
    <t>Cutting of concrete pipes (900mm)</t>
  </si>
  <si>
    <t>C3.2.24.2</t>
  </si>
  <si>
    <t>Extra-over sub-item C3.2.24.1 for compaction to 93 % of MDD (0 to 1500mm)</t>
  </si>
  <si>
    <t>(a) Precast kerb &amp; channeling  (kerb to SABS 927 - fig 6. as per SD0701/A and cast in-situ channel class 15/20 concrete)</t>
  </si>
  <si>
    <t>(b) Precast kerb &amp; channeling  (kerb to SABS 927 - fig 8. as per SD0701/A and cast in-situ channel class 15/20 concrete)</t>
  </si>
  <si>
    <t>Precast kerb &amp; channeling  (kerb to SABS 927 - fig 6. as per SD0701/A and cast in-situ channel class 15/20 concrete)</t>
  </si>
  <si>
    <t>Precast kerb &amp; channeling  (kerb to SABS 927 - fig 8. as per SD0701/A and cast in-situ channel class 15/20 concrete)</t>
  </si>
  <si>
    <t>Precast kerb (to SABS 927 - fig 8. as per SD0701/A)</t>
  </si>
  <si>
    <t>Precast kerb (to SABS 927 - fig 6. as per SD0701/A)</t>
  </si>
  <si>
    <t>C3.3.2.2</t>
  </si>
  <si>
    <t xml:space="preserve">Cast in situ kerbing-channeling </t>
  </si>
  <si>
    <t>CHAPTER C3.3</t>
  </si>
  <si>
    <t>C3.3.4</t>
  </si>
  <si>
    <t>Extra over item C3.3.2 for drop kerbs at pedestrian crossings and driveways</t>
  </si>
  <si>
    <t>C3.3.5</t>
  </si>
  <si>
    <t>Asphalt berms</t>
  </si>
  <si>
    <t>C3.3.5.1</t>
  </si>
  <si>
    <t>Asphalt berms placed where there are no vehicle restraint systems (drawing reference indicated)</t>
  </si>
  <si>
    <t>C3.3.5.2</t>
  </si>
  <si>
    <t>Asphalt berms placed at existing vehicle restraint systems (drawing reference indicated)</t>
  </si>
  <si>
    <t>C3.3.5.3</t>
  </si>
  <si>
    <t>Prime coat bitumen emulsion SS 60 Anionic</t>
  </si>
  <si>
    <t>C3.3.6</t>
  </si>
  <si>
    <t>Concrete chutes (25 mPA)</t>
  </si>
  <si>
    <t>C3.3.6.1</t>
  </si>
  <si>
    <t>Prefabricated concrete chutes SD 0605/A</t>
  </si>
  <si>
    <t>C3.3.6.2</t>
  </si>
  <si>
    <t>Cast in situ concrete chutes Class U, 25MPa, as per SD 0605/A</t>
  </si>
  <si>
    <t>C3.3.6.3</t>
  </si>
  <si>
    <t>Stone pitched chutes Class U, 25MPa, as per SD 0605/A</t>
  </si>
  <si>
    <t>C3.3.8</t>
  </si>
  <si>
    <t>Linings for open drains:</t>
  </si>
  <si>
    <t>C3.3.8.1</t>
  </si>
  <si>
    <t>Cast in situ concrete lining (29MPa V-Drain 1000mm)</t>
  </si>
  <si>
    <t>C3.3.8.2</t>
  </si>
  <si>
    <t>ClassU2 surface finish to cast in situ concrete (V-Drain 1000mm)</t>
  </si>
  <si>
    <t xml:space="preserve">C3.3.8.3 </t>
  </si>
  <si>
    <t>Stone pitched lining (200 mm thickness)</t>
  </si>
  <si>
    <t>(a) Grouted stone pitching (V-drain)</t>
  </si>
  <si>
    <t>(b) Grouted stone pitching on a concrete bed Class U, 25MPa mitter drain</t>
  </si>
  <si>
    <t>C3.3.9</t>
  </si>
  <si>
    <t>Formwork to cast in situ concrete lining for open drains (Class F2 surface finish):</t>
  </si>
  <si>
    <t>C3.3.9.1</t>
  </si>
  <si>
    <t>To sides with formwork on the internal face only</t>
  </si>
  <si>
    <t>C3.3.9.2</t>
  </si>
  <si>
    <t>To sides with formwork on both internal and external faces</t>
  </si>
  <si>
    <t>C3.3.9.3</t>
  </si>
  <si>
    <t>To ends of slabs</t>
  </si>
  <si>
    <t>C3.3.10</t>
  </si>
  <si>
    <t>Sealed joints in concrete and stone pitched linings of open drains (description of each type with reference to drawing)</t>
  </si>
  <si>
    <t>C3.3.11</t>
  </si>
  <si>
    <t>Concrete screed or backfill below chutes Class U, 25MPa</t>
  </si>
  <si>
    <r>
      <t>m</t>
    </r>
    <r>
      <rPr>
        <b/>
        <vertAlign val="superscript"/>
        <sz val="10"/>
        <rFont val="Arial"/>
        <family val="2"/>
      </rPr>
      <t>3</t>
    </r>
  </si>
  <si>
    <t>C3.3.12</t>
  </si>
  <si>
    <t>C3.3.12.2</t>
  </si>
  <si>
    <t>High-tensile steel bars</t>
  </si>
  <si>
    <t>ton</t>
  </si>
  <si>
    <t>C3.3.12.3</t>
  </si>
  <si>
    <t>C3.3.14</t>
  </si>
  <si>
    <t>Cutting bituminous surfacing and pavement layers for concrete kerbing, channeling or concrete-lined drains</t>
  </si>
  <si>
    <t>C3.3.15</t>
  </si>
  <si>
    <t>Energy dissipaters in outlet structures</t>
  </si>
  <si>
    <t>C3.3.15.1</t>
  </si>
  <si>
    <t>Precast concrete blocks in outlet structures</t>
  </si>
  <si>
    <t xml:space="preserve">C3.3.15.2 </t>
  </si>
  <si>
    <t>Stones set in outlet structures</t>
  </si>
  <si>
    <t>C3.3.16</t>
  </si>
  <si>
    <t>Demolition and removal of existing kerbs and/or channel (specify maximum size)</t>
  </si>
  <si>
    <t>Commercial materials identified by the Contractor from commercial, private or other non-commercial suppliers</t>
  </si>
  <si>
    <t>C4.4.2</t>
  </si>
  <si>
    <t>C4.4.2.1</t>
  </si>
  <si>
    <t>(b)Type G2 material</t>
  </si>
  <si>
    <t>(e) Type G5 material (Crushed)</t>
  </si>
  <si>
    <t>(g) Type G7 material (Crushed)</t>
  </si>
  <si>
    <t>C4.4.2.5</t>
  </si>
  <si>
    <t>Fill material in the earthworks:</t>
  </si>
  <si>
    <t>(a) Normal fill (G7 Crushed)</t>
  </si>
  <si>
    <t>(b) Rock fill 500mm</t>
  </si>
  <si>
    <t>FILL</t>
  </si>
  <si>
    <t>C5.2</t>
  </si>
  <si>
    <t>C5.2.2</t>
  </si>
  <si>
    <t>Fill construction (Rate to include cut, fill and compaction)</t>
  </si>
  <si>
    <t>C5.2.2.1</t>
  </si>
  <si>
    <t xml:space="preserve">Normal fill material in compacted layer thicknesses of 200 mm and less </t>
  </si>
  <si>
    <t>(b)  Compacted to 93 % of MDD</t>
  </si>
  <si>
    <t>C5.2.2.4</t>
  </si>
  <si>
    <t>Rock fill material all as per Clause A5.2.7.6</t>
  </si>
  <si>
    <t>C8.1</t>
  </si>
  <si>
    <t>PRIME COAT</t>
  </si>
  <si>
    <t>C8.1.1</t>
  </si>
  <si>
    <t xml:space="preserve">Prime Coat </t>
  </si>
  <si>
    <t>C8.1.1.2</t>
  </si>
  <si>
    <t>MC -30 cut-back bitumen</t>
  </si>
  <si>
    <t>C8.5.1.2</t>
  </si>
  <si>
    <t>Applying herbicides for sealing cracks</t>
  </si>
  <si>
    <t>Priming (MC 30)</t>
  </si>
  <si>
    <t>C8.5.1.5</t>
  </si>
  <si>
    <t>Heating of surface before rolling</t>
  </si>
  <si>
    <t>C8.5.1.6</t>
  </si>
  <si>
    <t>Rolling the cracks</t>
  </si>
  <si>
    <t>C8.8.4.2</t>
  </si>
  <si>
    <t>Bitumen stabilised materials 100mm  Bitumen Treated Base with AC Medium, 50/70, 5.3% Binder Content.</t>
  </si>
  <si>
    <t>(a) Not exceeding 10 m2, including for edge repairs wider than 250 mm</t>
  </si>
  <si>
    <t>(b) Exceeding 10 m2 but not exceeding 50 m2, including for edge repairs wider than 250 mm</t>
  </si>
  <si>
    <t>(c) Exceeding 50 m2 up to 100 m2, including for edge repairs wider than 250 mm</t>
  </si>
  <si>
    <t xml:space="preserve">(d) Exceeding 100 m2 </t>
  </si>
  <si>
    <t>C8.8.6</t>
  </si>
  <si>
    <t>Repairing edge breaks in surfacing</t>
  </si>
  <si>
    <t>C8.8.6.1</t>
  </si>
  <si>
    <t>Cutting back the edges of the existing surfacing for the repairing of edge breaks</t>
  </si>
  <si>
    <t>C8.8.6.2</t>
  </si>
  <si>
    <t xml:space="preserve">Prime coat </t>
  </si>
  <si>
    <t>C8.8.6.3</t>
  </si>
  <si>
    <t>Reconstructing edges using:</t>
  </si>
  <si>
    <t>(a) Continuously-graded hot asphalt AC Medium, 50/70 with a 5.3%</t>
  </si>
  <si>
    <t>(b) Continuously-graded cold asphalt</t>
  </si>
  <si>
    <t>C11.1.3</t>
  </si>
  <si>
    <t>Riprap</t>
  </si>
  <si>
    <t>Packed Riprap (Rock Boulders)</t>
  </si>
  <si>
    <t>C11.1.3.1</t>
  </si>
  <si>
    <t>C11.1.7</t>
  </si>
  <si>
    <t>Provision of approved herbicide and ant poison</t>
  </si>
  <si>
    <t xml:space="preserve">C11.1.7.1 </t>
  </si>
  <si>
    <t>Provision of materials</t>
  </si>
  <si>
    <t xml:space="preserve">C11.1.7.2 </t>
  </si>
  <si>
    <t>Contractor’s charges and profit added to the prime cost sum</t>
  </si>
  <si>
    <t>C11.2.3.2</t>
  </si>
  <si>
    <t xml:space="preserve">PVC coated gabion boxes </t>
  </si>
  <si>
    <t xml:space="preserve">C11.2.3.4 </t>
  </si>
  <si>
    <t>PVC-coated gabion mattresses</t>
  </si>
  <si>
    <t>GUIDE BLOCKS AND KILOMETRE MARKERS</t>
  </si>
  <si>
    <t>C11.3</t>
  </si>
  <si>
    <t xml:space="preserve">C11.3.2 </t>
  </si>
  <si>
    <t>C11.4.5.3</t>
  </si>
  <si>
    <t>Extra over C11.4.5.1 for excavating holes of posts using labour enhanced methods</t>
  </si>
  <si>
    <t>C11.4.8</t>
  </si>
  <si>
    <t xml:space="preserve">Renovating guardrail material:                                                          </t>
  </si>
  <si>
    <t>C11.4.8.1</t>
  </si>
  <si>
    <t xml:space="preserve">Painting guardrails, end wings and bullnose                                                         </t>
  </si>
  <si>
    <t>C11.4.10.5</t>
  </si>
  <si>
    <t>C11.4.10.6</t>
  </si>
  <si>
    <t>Extra over C11.4.10.4 and C11.4.10.5 for excavating holes of posts using labour enhanced methods (soft and intermediate)</t>
  </si>
  <si>
    <t xml:space="preserve">C11.4.11.8 </t>
  </si>
  <si>
    <t>Reinforcing plates (SD 1101/B)</t>
  </si>
  <si>
    <t>C11.4.13</t>
  </si>
  <si>
    <t>Steel base plates for guardrail posts on structures</t>
  </si>
  <si>
    <t xml:space="preserve">C11.4.14 </t>
  </si>
  <si>
    <t>Nailing of gang nail plates on top of timber guardrail posts</t>
  </si>
  <si>
    <t>900 mm diameter Chromadek, steel plated Class I background and symbol retro-reflective</t>
  </si>
  <si>
    <t xml:space="preserve">C11.6.1.11 </t>
  </si>
  <si>
    <t xml:space="preserve"> Supplementary plates to permanent regulatory or warning signs Chromadek, steel plated Class I background and symbol retro-reflective </t>
  </si>
  <si>
    <t>C11.6.1.12</t>
  </si>
  <si>
    <t xml:space="preserve">Supplementary plates to temporary regulatory or warning signs Chromadek, steel plated Class I background and symbol retro-reflective </t>
  </si>
  <si>
    <t xml:space="preserve">C11.6.5.5 </t>
  </si>
  <si>
    <t>Imported backfill material from commercial sources</t>
  </si>
  <si>
    <t xml:space="preserve">C11.6.6 </t>
  </si>
  <si>
    <t>Dismantling, storing and re-erecting road signs with a surface area of</t>
  </si>
  <si>
    <t xml:space="preserve">C11.6.6.1 </t>
  </si>
  <si>
    <t>Area 0 to 0,5 m²</t>
  </si>
  <si>
    <t>C11.6.6.2</t>
  </si>
  <si>
    <t>Area exceeding 0,5 m² but not 2,0 m²</t>
  </si>
  <si>
    <t xml:space="preserve">C11.6.6.3 </t>
  </si>
  <si>
    <t>Area exceeding 2,0 m² but not 10 m²</t>
  </si>
  <si>
    <t>C11.7.2.4</t>
  </si>
  <si>
    <t xml:space="preserve">C11.7.2.5 </t>
  </si>
  <si>
    <t xml:space="preserve">C11.7.2.6 </t>
  </si>
  <si>
    <t xml:space="preserve">C11.7.2.7 </t>
  </si>
  <si>
    <t>White lettering and symbols (Retro-reflective road-marking paint)</t>
  </si>
  <si>
    <t xml:space="preserve"> Yellow lettering and symbols (Retro-reflective road-marking paint)</t>
  </si>
  <si>
    <t>Red lettering and symbols (Retro-reflective road-marking paint)</t>
  </si>
  <si>
    <t>Transverse lines, painted island and arrestor bed markings (any colour) (Retro-reflective road-marking paint)</t>
  </si>
  <si>
    <t xml:space="preserve">C11.7.3 </t>
  </si>
  <si>
    <t>Thermoplastic road marking</t>
  </si>
  <si>
    <t xml:space="preserve">C11.7.3.1 </t>
  </si>
  <si>
    <t xml:space="preserve">Thermoplastic road marking, broken or unbroken </t>
  </si>
  <si>
    <t xml:space="preserve">C11.7.11 </t>
  </si>
  <si>
    <t>Removal of existing road studs</t>
  </si>
  <si>
    <t>C11.9.1.1</t>
  </si>
  <si>
    <t>Applied in restricted areas using a portable pressure sprayer</t>
  </si>
  <si>
    <t>PSC15.1</t>
  </si>
  <si>
    <t>(ii) 300 mm wide</t>
  </si>
  <si>
    <t>(i) 200 mm wide</t>
  </si>
  <si>
    <t>C20.1</t>
  </si>
  <si>
    <t>TESTING MATERIALS AND JUDGEMENT OF WORKMANSHIP</t>
  </si>
  <si>
    <t>C20.1.2</t>
  </si>
  <si>
    <t>Special tests requested by the Engineer</t>
  </si>
  <si>
    <t>C20.1.2.2</t>
  </si>
  <si>
    <t>Employer’s contribution to other special tests</t>
  </si>
  <si>
    <t>(a) Compaction Test</t>
  </si>
  <si>
    <t>Prime Cost</t>
  </si>
  <si>
    <t>(i)  Handling costs and profit in respect of item C20.1.2.2(a)</t>
  </si>
  <si>
    <t>C4.3</t>
  </si>
  <si>
    <t>EXISTING ROAD MATERIALS</t>
  </si>
  <si>
    <t>C4.3.2</t>
  </si>
  <si>
    <t>Cleaning the existing road surface</t>
  </si>
  <si>
    <t>C4.3.2.1</t>
  </si>
  <si>
    <t xml:space="preserve">Cost to clean the road surface </t>
  </si>
  <si>
    <t>Prov. Sum</t>
  </si>
  <si>
    <t>C4.3.2.2</t>
  </si>
  <si>
    <t>Handling costs and profit in respect of item C4.3.2.1</t>
  </si>
  <si>
    <t>C4.3.5</t>
  </si>
  <si>
    <t>Providing the milling machine on the site</t>
  </si>
  <si>
    <t>C4.3.5.2</t>
  </si>
  <si>
    <t>Large milling machine with a cutting width exceeding 1,2m</t>
  </si>
  <si>
    <t>C4.3.7</t>
  </si>
  <si>
    <t>Milling and removal of existing asphalt layers with an average milling depth (Employer takes ownership)</t>
  </si>
  <si>
    <t>C4.3.6.1</t>
  </si>
  <si>
    <t>Not exceeding 50mm</t>
  </si>
  <si>
    <t>C4.3.6.2</t>
  </si>
  <si>
    <t>Exceeding 50mm but not exceeding 100mm</t>
  </si>
  <si>
    <t>=$B$11</t>
  </si>
  <si>
    <t>C11.2 CPG</t>
  </si>
  <si>
    <t>C11.4 CPG</t>
  </si>
  <si>
    <t xml:space="preserve">11.9 </t>
  </si>
  <si>
    <t>C11.7 CPG</t>
  </si>
  <si>
    <t>Procurement process for the appointment of CIDB contractor grading designation 1 Targeted Enterprise subcontractor (20 copies of the tender document required for each individual tender)</t>
  </si>
  <si>
    <t>Procurement process for the appointment of CIDB contractor grading designation 2 Targeted Enterprise subcontractor (10 copies of the tender document required for each individual tender)</t>
  </si>
  <si>
    <t>Procurement process for the appointment of CIDB contractor grading designation 3 Targeted Enterprise subcontractor (10 copies of the tender document required for each individual tender)</t>
  </si>
  <si>
    <t>Procurement process for the appointment of CIDB contractor grading designation 4 Targeted Enterprise subcontractor (10 copies of the tender document required for each individual tender)</t>
  </si>
  <si>
    <t>C81</t>
  </si>
  <si>
    <t>C83</t>
  </si>
  <si>
    <t>(iii) 1200 mm Diamete (Socket)</t>
  </si>
  <si>
    <t>C3.3 CPG</t>
  </si>
  <si>
    <t>C3.1 CPG</t>
  </si>
  <si>
    <t>C1.6 CPG</t>
  </si>
  <si>
    <t>C9.1.1.1</t>
  </si>
  <si>
    <t>Stone skeletal mixes:</t>
  </si>
  <si>
    <t>(a) Continuously graded base or surfacing (50/70 with a 5.3% binder content).</t>
  </si>
  <si>
    <t>Lump sum</t>
  </si>
  <si>
    <t>C9.1.3.1</t>
  </si>
  <si>
    <t>Stable –grade 30 % net bitumen emulsion as specified. Applied with a calibrated distributer</t>
  </si>
  <si>
    <t>C9.1.4</t>
  </si>
  <si>
    <t>Asphalt base</t>
  </si>
  <si>
    <t>C9.1.4.2</t>
  </si>
  <si>
    <t>Rehabilitation</t>
  </si>
  <si>
    <t>(a) Stone skeletal mix – continuously graded as defined 150mm, BC Medium, 50/70 with a 5.3% binder content).</t>
  </si>
  <si>
    <t>C9.1.5</t>
  </si>
  <si>
    <t>Asphalt surfacing</t>
  </si>
  <si>
    <t>C9.1.5.2</t>
  </si>
  <si>
    <t>(a) Stone skeletal mix – continuously graded as defined (50mm, 40 AC Medium, 50/70 with a 5.3% binder content).</t>
  </si>
  <si>
    <t>C9.1.6</t>
  </si>
  <si>
    <t>Extra over pay items C.9.1.4.1 and C.9.1.5.1 for placing small quantities of asphalt of less than 10 tons specially produced as specified in terms of Clause A9.1.7.1d)</t>
  </si>
  <si>
    <t>C9.1.15</t>
  </si>
  <si>
    <t>Milling of bridge decks and keys adjacent to bridge decks</t>
  </si>
  <si>
    <t>C9.1.15.1</t>
  </si>
  <si>
    <t>Provision of an appropriate sized milling machine</t>
  </si>
  <si>
    <t>C9.1.15.2</t>
  </si>
  <si>
    <t>Milling of bridge decks and keys to bridge deck approaches</t>
  </si>
  <si>
    <t>C9.1.15.3</t>
  </si>
  <si>
    <t>Cleaning of milled surfaces</t>
  </si>
  <si>
    <t xml:space="preserve">PSC C11.3.2  </t>
  </si>
  <si>
    <t>Painting of Kilometre markers</t>
  </si>
  <si>
    <t>(i) 150 mm wide</t>
  </si>
  <si>
    <t>TOATAL SCHEDULE E: EXPANDED PUBLIC WORKS PROGRAMME (EPWP)</t>
  </si>
  <si>
    <t>C82</t>
  </si>
  <si>
    <t xml:space="preserve">CONTRACT SKILLS DEVELOPMENT GOALS – CSDG (0.25% of SUBTOTAL 1) </t>
  </si>
  <si>
    <t>Subtotal 4</t>
  </si>
  <si>
    <t>VAT (15% of Subtotal 4)</t>
  </si>
  <si>
    <t>F10.03</t>
  </si>
  <si>
    <t>Training of learners employed by Targeted Enterprise subcontractors:</t>
  </si>
  <si>
    <t>PROVISION OF ROUTINE AND SAFETY MAINTENANCE ON MIAN ROAD P3/1 (KM 69.00 TO KM 77.96), P3/2 (KM 0.00 TO KM 11.50), P21/2(KM 0.00 TO KM 29.83 IN THE ETHEKWINI METRO - DURBAN REGION</t>
  </si>
  <si>
    <t>P3/1</t>
  </si>
  <si>
    <t>P3/2</t>
  </si>
  <si>
    <t>P21/2</t>
  </si>
  <si>
    <t>ZNB02287/00000/00/MET/INF/24/T</t>
  </si>
  <si>
    <t>C14.3</t>
  </si>
  <si>
    <t>DEMOLITION AND REMOVAL OF STRUCTURAL CONCRETE AND STEELWORK</t>
  </si>
  <si>
    <t>C14.3.5</t>
  </si>
  <si>
    <t xml:space="preserve">Removal of metal or polycrete sections embedded in concrete </t>
  </si>
  <si>
    <t>C14.4</t>
  </si>
  <si>
    <t>SURFACE AND STRUCTURAL REPAIR OF CONCRETE MEMBERS</t>
  </si>
  <si>
    <t>C14.4.2</t>
  </si>
  <si>
    <t>Structural Grade Epoxy adhesive /motar</t>
  </si>
  <si>
    <t>C14.9</t>
  </si>
  <si>
    <t>REPAIRS AND REPLACEMENT OF ANCILLARY STRUCTURAL ELEMENTS</t>
  </si>
  <si>
    <t>C14.9.6</t>
  </si>
  <si>
    <t>Replacement/repair of handrails( Fabric cement-0.09m*0.06m)(No.118x1.7m or 201 x 1m)</t>
  </si>
  <si>
    <t>C14</t>
  </si>
  <si>
    <t>REPAIR AND REHABILITATION OF STRUCTURES</t>
  </si>
  <si>
    <t xml:space="preserve">     '(i) Handrails (1.0m to 1.7m long*0.09m*0.06m) per member (Total of 0.90 m3)</t>
  </si>
  <si>
    <t xml:space="preserve">     '(ii) Posts (1.0m to 1.17m high*0.06m*0.05m) per post  (Total of 3.71 to 4.34 m3)</t>
  </si>
  <si>
    <t>Single carriageway road</t>
  </si>
  <si>
    <t>C14.4.1</t>
  </si>
  <si>
    <t>Cementitious mortar or concrete</t>
  </si>
  <si>
    <t>Replacement/repair of Posts (Polycrete- 1.00 to 1.17m high*0.06m*0.05m)</t>
  </si>
  <si>
    <t>C10.1</t>
  </si>
  <si>
    <t>GENERAL REQUIREMENTS FOR SURFACE TREATMENTS</t>
  </si>
  <si>
    <t>C10.1.1</t>
  </si>
  <si>
    <t>Single seals (overlay) including a cover spray:</t>
  </si>
  <si>
    <t>C10.1.1.1</t>
  </si>
  <si>
    <t>Using 5,0 mm aggregate (30mm thick)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</si>
</sst>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quot;R&quot;\ * #,##0.00_ ;_ &quot;R&quot;\ * \-#,##0.00_ ;_ &quot;R&quot;\ * &quot;-&quot;??_ ;_ @_ "/>
    <numFmt numFmtId="43" formatCode="_ * #,##0.00_ ;_ * \-#,##0.00_ ;_ * &quot;-&quot;??_ ;_ @_ "/>
    <numFmt numFmtId="164" formatCode="&quot;R&quot;#,##0;\-&quot;R&quot;#,##0"/>
    <numFmt numFmtId="165" formatCode="&quot;R&quot;#,##0.00;\-&quot;R&quot;#,##0.00"/>
    <numFmt numFmtId="166" formatCode="_-&quot;R&quot;* #,##0.00_-;\-&quot;R&quot;* #,##0.00_-;_-&quot;R&quot;* &quot;-&quot;??_-;_-@_-"/>
    <numFmt numFmtId="167" formatCode="_-* #,##0.00_-;\-* #,##0.00_-;_-* &quot;-&quot;??_-;_-@_-"/>
    <numFmt numFmtId="168" formatCode="_(&quot;$&quot;* #,##0.00_);_(&quot;$&quot;* \(#,##0.00\);_(&quot;$&quot;* &quot;-&quot;??_);_(@_)"/>
    <numFmt numFmtId="169" formatCode="_(* #,##0.00_);_(* \(#,##0.00\);_(* &quot;-&quot;??_);_(@_)"/>
    <numFmt numFmtId="170" formatCode="&quot;R&quot;\ #,##0.00"/>
    <numFmt numFmtId="171" formatCode="0.0%"/>
    <numFmt numFmtId="172" formatCode="[$R-1C09]\ #\ ###\ ##0.00;[Red][$R-1C09]\-#\ ###\ ##0.00"/>
    <numFmt numFmtId="173" formatCode="_-* #.##0.00_-;\-* #.##0.00_-;_-* &quot;-&quot;??_-;_-@_-"/>
    <numFmt numFmtId="174" formatCode="&quot;R&quot;#,##0.00"/>
    <numFmt numFmtId="175" formatCode="&quot;C&quot;00"/>
    <numFmt numFmtId="176" formatCode="#,##0.0"/>
    <numFmt numFmtId="177" formatCode="0.00%;\-0.00%;&quot;- &quot;;@"/>
    <numFmt numFmtId="178" formatCode="#,##0.00;\-#,##0.00;&quot;- &quot;;@"/>
    <numFmt numFmtId="179" formatCode="#,##0_ ;[Red]\-#,##0\ "/>
    <numFmt numFmtId="180" formatCode="&quot;C&quot;0"/>
    <numFmt numFmtId="181" formatCode="#,##0.00_ ;\-#,##0.00\ "/>
    <numFmt numFmtId="182" formatCode="#,##0.00_ ;[Red]\-#,##0.00\ "/>
    <numFmt numFmtId="183" formatCode="#,##0;\-#,##0;&quot; Rate Only &quot;;@"/>
    <numFmt numFmtId="184" formatCode="#,##0.0;[Red]\-#,##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i/>
      <sz val="9"/>
      <name val="Arial"/>
      <family val="2"/>
    </font>
    <font>
      <b/>
      <sz val="10"/>
      <color rgb="FF000000"/>
      <name val="Arial"/>
      <family val="2"/>
    </font>
    <font>
      <b/>
      <sz val="8"/>
      <color rgb="FF000000"/>
      <name val="Arial"/>
      <family val="2"/>
    </font>
    <font>
      <vertAlign val="superscript"/>
      <sz val="9"/>
      <name val="Arial"/>
      <family val="2"/>
    </font>
    <font>
      <sz val="10"/>
      <color theme="0"/>
      <name val="Arial"/>
      <family val="2"/>
    </font>
    <font>
      <b/>
      <sz val="10"/>
      <color rgb="FFFF0000"/>
      <name val="Arial"/>
      <family val="2"/>
    </font>
    <font>
      <sz val="8"/>
      <color rgb="FF000000"/>
      <name val="Segoe UI"/>
      <family val="2"/>
    </font>
    <font>
      <b/>
      <vertAlign val="superscript"/>
      <sz val="10"/>
      <name val="Arial"/>
      <family val="2"/>
    </font>
    <font>
      <sz val="10"/>
      <color rgb="FFFF0000"/>
      <name val="Arial"/>
      <family val="2"/>
    </font>
    <font>
      <b/>
      <sz val="10"/>
      <color rgb="FF0000FF"/>
      <name val="Arial"/>
      <family val="2"/>
    </font>
    <font>
      <b/>
      <sz val="10"/>
      <color theme="1"/>
      <name val="Arial"/>
      <family val="2"/>
    </font>
    <font>
      <i/>
      <sz val="10"/>
      <name val="Arial"/>
      <family val="2"/>
    </font>
  </fonts>
  <fills count="11">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s>
  <borders count="8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right style="medium">
        <color indexed="64"/>
      </right>
      <top/>
      <bottom/>
      <diagonal/>
    </border>
    <border>
      <left style="thin">
        <color auto="1"/>
      </left>
      <right/>
      <top style="medium">
        <color indexed="64"/>
      </top>
      <bottom style="medium">
        <color indexed="64"/>
      </bottom>
      <diagonal/>
    </border>
    <border>
      <left style="medium">
        <color auto="1"/>
      </left>
      <right/>
      <top/>
      <bottom style="thin">
        <color auto="1"/>
      </bottom>
      <diagonal/>
    </border>
    <border>
      <left style="medium">
        <color indexed="64"/>
      </left>
      <right/>
      <top style="medium">
        <color indexed="64"/>
      </top>
      <bottom style="thin">
        <color auto="1"/>
      </bottom>
      <diagonal/>
    </border>
    <border>
      <left style="medium">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diagonal/>
    </border>
    <border>
      <left style="medium">
        <color auto="1"/>
      </left>
      <right style="medium">
        <color indexed="64"/>
      </right>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rgb="FFC0C0C0"/>
      </top>
      <bottom style="thin">
        <color rgb="FFC0C0C0"/>
      </bottom>
      <diagonal/>
    </border>
    <border>
      <left style="thin">
        <color auto="1"/>
      </left>
      <right/>
      <top/>
      <bottom style="thin">
        <color rgb="FFC0C0C0"/>
      </bottom>
      <diagonal/>
    </border>
    <border>
      <left/>
      <right style="thin">
        <color indexed="64"/>
      </right>
      <top/>
      <bottom style="thin">
        <color rgb="FFC0C0C0"/>
      </bottom>
      <diagonal/>
    </border>
    <border>
      <left style="thin">
        <color auto="1"/>
      </left>
      <right style="thin">
        <color indexed="64"/>
      </right>
      <top/>
      <bottom style="thin">
        <color rgb="FFC0C0C0"/>
      </bottom>
      <diagonal/>
    </border>
    <border>
      <left/>
      <right/>
      <top/>
      <bottom style="thin">
        <color rgb="FFC0C0C0"/>
      </bottom>
      <diagonal/>
    </border>
    <border>
      <left style="thin">
        <color auto="1"/>
      </left>
      <right/>
      <top style="thin">
        <color rgb="FFC0C0C0"/>
      </top>
      <bottom style="thin">
        <color rgb="FFC0C0C0"/>
      </bottom>
      <diagonal/>
    </border>
    <border>
      <left/>
      <right style="thin">
        <color indexed="64"/>
      </right>
      <top style="thin">
        <color rgb="FFC0C0C0"/>
      </top>
      <bottom style="thin">
        <color rgb="FFC0C0C0"/>
      </bottom>
      <diagonal/>
    </border>
    <border>
      <left/>
      <right/>
      <top style="thin">
        <color rgb="FFC0C0C0"/>
      </top>
      <bottom style="thin">
        <color rgb="FFC0C0C0"/>
      </bottom>
      <diagonal/>
    </border>
    <border>
      <left style="thin">
        <color auto="1"/>
      </left>
      <right/>
      <top style="thin">
        <color rgb="FFC0C0C0"/>
      </top>
      <bottom/>
      <diagonal/>
    </border>
    <border>
      <left/>
      <right style="thin">
        <color indexed="64"/>
      </right>
      <top style="thin">
        <color rgb="FFC0C0C0"/>
      </top>
      <bottom/>
      <diagonal/>
    </border>
    <border>
      <left style="thin">
        <color auto="1"/>
      </left>
      <right style="thin">
        <color indexed="64"/>
      </right>
      <top style="thin">
        <color rgb="FFC0C0C0"/>
      </top>
      <bottom/>
      <diagonal/>
    </border>
    <border>
      <left/>
      <right/>
      <top style="thin">
        <color rgb="FFC0C0C0"/>
      </top>
      <bottom/>
      <diagonal/>
    </border>
    <border>
      <left style="thin">
        <color auto="1"/>
      </left>
      <right/>
      <top style="thin">
        <color rgb="FFC0C0C0"/>
      </top>
      <bottom style="thin">
        <color indexed="64"/>
      </bottom>
      <diagonal/>
    </border>
    <border>
      <left/>
      <right/>
      <top style="thin">
        <color rgb="FFC0C0C0"/>
      </top>
      <bottom style="thin">
        <color auto="1"/>
      </bottom>
      <diagonal/>
    </border>
    <border>
      <left/>
      <right style="thin">
        <color indexed="64"/>
      </right>
      <top style="thin">
        <color rgb="FFC0C0C0"/>
      </top>
      <bottom style="thin">
        <color auto="1"/>
      </bottom>
      <diagonal/>
    </border>
    <border>
      <left style="thin">
        <color indexed="64"/>
      </left>
      <right style="medium">
        <color indexed="64"/>
      </right>
      <top style="medium">
        <color indexed="64"/>
      </top>
      <bottom/>
      <diagonal/>
    </border>
    <border>
      <left style="medium">
        <color indexed="64"/>
      </left>
      <right style="medium">
        <color auto="1"/>
      </right>
      <top/>
      <bottom style="medium">
        <color indexed="64"/>
      </bottom>
      <diagonal/>
    </border>
    <border>
      <left style="medium">
        <color indexed="64"/>
      </left>
      <right style="thin">
        <color indexed="64"/>
      </right>
      <top/>
      <bottom style="medium">
        <color indexed="64"/>
      </bottom>
      <diagonal/>
    </border>
    <border>
      <left style="thin">
        <color auto="1"/>
      </left>
      <right style="medium">
        <color auto="1"/>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medium">
        <color auto="1"/>
      </right>
      <top/>
      <bottom/>
      <diagonal/>
    </border>
  </borders>
  <cellStyleXfs count="25">
    <xf numFmtId="0" fontId="0" fillId="0" borderId="0"/>
    <xf numFmtId="169" fontId="6" fillId="0" borderId="0" applyFont="0" applyFill="0" applyBorder="0" applyAlignment="0" applyProtection="0"/>
    <xf numFmtId="3" fontId="6" fillId="0" borderId="0" applyFont="0" applyFill="0" applyBorder="0" applyAlignment="0" applyProtection="0"/>
    <xf numFmtId="168" fontId="6" fillId="0" borderId="0" applyFont="0" applyFill="0" applyBorder="0" applyAlignment="0" applyProtection="0"/>
    <xf numFmtId="168"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2" fontId="6" fillId="0" borderId="10" applyFill="0" applyProtection="0"/>
    <xf numFmtId="0" fontId="6" fillId="0" borderId="0"/>
    <xf numFmtId="0" fontId="4" fillId="0" borderId="0"/>
    <xf numFmtId="167" fontId="4"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0" fontId="6" fillId="0" borderId="0"/>
    <xf numFmtId="4" fontId="11" fillId="0" borderId="0" applyProtection="0"/>
    <xf numFmtId="164" fontId="12" fillId="0" borderId="0" applyFont="0" applyFill="0" applyBorder="0" applyAlignment="0" applyProtection="0"/>
    <xf numFmtId="0" fontId="3" fillId="0" borderId="0"/>
    <xf numFmtId="173" fontId="3" fillId="0" borderId="0" applyFont="0" applyFill="0" applyBorder="0" applyAlignment="0" applyProtection="0"/>
    <xf numFmtId="0" fontId="13" fillId="0" borderId="0"/>
    <xf numFmtId="168" fontId="6" fillId="0" borderId="0" applyFont="0" applyFill="0" applyBorder="0" applyAlignment="0" applyProtection="0"/>
    <xf numFmtId="0" fontId="2" fillId="0" borderId="0"/>
  </cellStyleXfs>
  <cellXfs count="759">
    <xf numFmtId="0" fontId="0" fillId="0" borderId="0" xfId="0"/>
    <xf numFmtId="0" fontId="6" fillId="0" borderId="0" xfId="17" applyAlignment="1">
      <alignment vertical="center"/>
    </xf>
    <xf numFmtId="0" fontId="7" fillId="0" borderId="0" xfId="17" applyFont="1" applyAlignment="1">
      <alignment horizontal="left" vertical="center"/>
    </xf>
    <xf numFmtId="0" fontId="6" fillId="0" borderId="0" xfId="17" applyAlignment="1">
      <alignment horizontal="left" vertical="center"/>
    </xf>
    <xf numFmtId="0" fontId="6" fillId="0" borderId="0" xfId="17" applyAlignment="1">
      <alignment horizontal="center" vertical="center"/>
    </xf>
    <xf numFmtId="0" fontId="6" fillId="0" borderId="0" xfId="17"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Border="1" applyAlignment="1">
      <alignment horizontal="left" vertical="center" wrapText="1"/>
    </xf>
    <xf numFmtId="0" fontId="6" fillId="0" borderId="1" xfId="17" applyBorder="1" applyAlignment="1">
      <alignment horizontal="left" vertical="center" wrapText="1"/>
    </xf>
    <xf numFmtId="0" fontId="6" fillId="0" borderId="1" xfId="17" applyBorder="1" applyAlignment="1">
      <alignment horizontal="center" wrapText="1"/>
    </xf>
    <xf numFmtId="0" fontId="6" fillId="0" borderId="1" xfId="17" applyBorder="1" applyAlignment="1">
      <alignment wrapText="1"/>
    </xf>
    <xf numFmtId="170" fontId="6" fillId="0" borderId="1" xfId="3" applyNumberFormat="1" applyFont="1" applyBorder="1" applyAlignment="1">
      <alignment horizontal="right" wrapText="1"/>
    </xf>
    <xf numFmtId="170"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49" fontId="6" fillId="0" borderId="1" xfId="17" applyNumberFormat="1" applyBorder="1" applyAlignment="1">
      <alignment horizontal="center" vertical="center" wrapText="1"/>
    </xf>
    <xf numFmtId="0" fontId="6" fillId="0" borderId="1" xfId="17" applyBorder="1" applyAlignment="1">
      <alignment horizontal="center" vertical="center" wrapText="1"/>
    </xf>
    <xf numFmtId="3" fontId="6" fillId="0" borderId="1" xfId="1" applyNumberFormat="1" applyFont="1" applyBorder="1" applyAlignment="1">
      <alignment horizontal="center" vertical="center" wrapText="1"/>
    </xf>
    <xf numFmtId="169" fontId="6" fillId="0" borderId="1" xfId="1" applyFont="1" applyBorder="1" applyAlignment="1">
      <alignment horizontal="center" vertical="center" wrapText="1"/>
    </xf>
    <xf numFmtId="170"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Border="1" applyAlignment="1">
      <alignment horizontal="left" vertical="center"/>
    </xf>
    <xf numFmtId="0" fontId="6" fillId="0" borderId="3" xfId="17" applyBorder="1" applyAlignment="1">
      <alignment horizontal="left" vertical="center" wrapText="1"/>
    </xf>
    <xf numFmtId="171" fontId="6" fillId="0" borderId="1" xfId="17" applyNumberFormat="1" applyBorder="1" applyAlignment="1">
      <alignment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70" fontId="7" fillId="0" borderId="11" xfId="1" applyNumberFormat="1" applyFont="1" applyBorder="1" applyAlignment="1">
      <alignment horizontal="right" vertical="center" wrapText="1"/>
    </xf>
    <xf numFmtId="170" fontId="7" fillId="0" borderId="0" xfId="1" applyNumberFormat="1" applyFont="1" applyBorder="1" applyAlignment="1">
      <alignment horizontal="right" vertical="center" wrapText="1"/>
    </xf>
    <xf numFmtId="49" fontId="6" fillId="0" borderId="0" xfId="17" applyNumberFormat="1" applyAlignment="1">
      <alignment horizontal="left" vertical="center"/>
    </xf>
    <xf numFmtId="0" fontId="6" fillId="0" borderId="0" xfId="17"/>
    <xf numFmtId="0" fontId="6" fillId="0" borderId="1" xfId="17" applyBorder="1" applyAlignment="1">
      <alignment horizontal="center" vertical="center"/>
    </xf>
    <xf numFmtId="169" fontId="6" fillId="0" borderId="1" xfId="1" applyFont="1" applyBorder="1" applyAlignment="1">
      <alignment vertical="center" wrapText="1"/>
    </xf>
    <xf numFmtId="0" fontId="6" fillId="0" borderId="1" xfId="17" applyBorder="1" applyAlignment="1">
      <alignment vertical="center" wrapText="1"/>
    </xf>
    <xf numFmtId="170" fontId="6" fillId="0" borderId="0" xfId="3" applyNumberFormat="1" applyFont="1" applyBorder="1" applyAlignment="1">
      <alignment horizontal="right" vertical="center" wrapText="1"/>
    </xf>
    <xf numFmtId="170" fontId="6" fillId="0" borderId="0" xfId="1" applyNumberFormat="1" applyFont="1" applyBorder="1" applyAlignment="1">
      <alignment horizontal="right" vertical="center" wrapText="1"/>
    </xf>
    <xf numFmtId="171" fontId="6" fillId="0" borderId="1" xfId="7" applyNumberFormat="1" applyFont="1" applyBorder="1" applyAlignment="1">
      <alignment vertical="center" wrapText="1"/>
    </xf>
    <xf numFmtId="170" fontId="6" fillId="0" borderId="0" xfId="3" applyNumberFormat="1" applyFont="1" applyBorder="1" applyAlignment="1">
      <alignment vertical="center" wrapText="1"/>
    </xf>
    <xf numFmtId="0" fontId="6" fillId="0" borderId="1" xfId="17" applyBorder="1" applyAlignment="1">
      <alignment vertical="center"/>
    </xf>
    <xf numFmtId="49" fontId="7" fillId="0" borderId="1" xfId="17" applyNumberFormat="1" applyFont="1" applyBorder="1" applyAlignment="1">
      <alignment horizontal="center" vertical="center" wrapText="1"/>
    </xf>
    <xf numFmtId="171" fontId="6" fillId="0" borderId="1" xfId="17" applyNumberFormat="1" applyBorder="1" applyAlignment="1">
      <alignment vertical="center" wrapText="1"/>
    </xf>
    <xf numFmtId="169" fontId="6" fillId="0" borderId="1" xfId="1" applyFont="1" applyFill="1" applyBorder="1" applyAlignment="1">
      <alignment vertical="center" wrapText="1"/>
    </xf>
    <xf numFmtId="169" fontId="6" fillId="0" borderId="0" xfId="17" applyNumberFormat="1" applyAlignment="1">
      <alignment horizontal="right" vertical="center"/>
    </xf>
    <xf numFmtId="49" fontId="6" fillId="0" borderId="1" xfId="17" applyNumberFormat="1" applyBorder="1" applyAlignment="1">
      <alignment horizontal="right" vertical="center" wrapText="1"/>
    </xf>
    <xf numFmtId="0" fontId="6" fillId="0" borderId="1" xfId="17" applyBorder="1" applyAlignment="1">
      <alignment horizontal="left" vertical="center"/>
    </xf>
    <xf numFmtId="0" fontId="6" fillId="0" borderId="0" xfId="17" applyAlignment="1">
      <alignment horizontal="left" vertical="center" wrapText="1"/>
    </xf>
    <xf numFmtId="49" fontId="6" fillId="0" borderId="0" xfId="17" applyNumberFormat="1" applyAlignment="1">
      <alignment horizontal="left" vertical="center" wrapText="1"/>
    </xf>
    <xf numFmtId="0" fontId="7" fillId="0" borderId="0" xfId="17" applyFont="1" applyAlignment="1">
      <alignment horizontal="right" vertical="center" wrapText="1"/>
    </xf>
    <xf numFmtId="0" fontId="6" fillId="0" borderId="0" xfId="17" applyAlignment="1">
      <alignment wrapText="1"/>
    </xf>
    <xf numFmtId="0" fontId="7" fillId="0" borderId="0" xfId="17" applyFont="1" applyAlignment="1">
      <alignment vertical="center" wrapText="1"/>
    </xf>
    <xf numFmtId="170" fontId="6" fillId="0" borderId="0" xfId="1" applyNumberFormat="1" applyFont="1" applyBorder="1" applyAlignment="1">
      <alignment horizontal="right" wrapText="1"/>
    </xf>
    <xf numFmtId="49" fontId="6" fillId="0" borderId="1" xfId="17" applyNumberFormat="1" applyBorder="1" applyAlignment="1">
      <alignment horizontal="right" vertical="top" wrapText="1"/>
    </xf>
    <xf numFmtId="170" fontId="6" fillId="0" borderId="0" xfId="3" applyNumberFormat="1" applyFont="1" applyBorder="1" applyAlignment="1">
      <alignment wrapText="1"/>
    </xf>
    <xf numFmtId="0" fontId="6" fillId="0" borderId="1" xfId="17" applyBorder="1" applyAlignment="1">
      <alignment horizontal="center"/>
    </xf>
    <xf numFmtId="0" fontId="6" fillId="0" borderId="1" xfId="17" applyBorder="1"/>
    <xf numFmtId="0" fontId="6" fillId="0" borderId="0" xfId="17" applyAlignment="1">
      <alignment horizontal="right"/>
    </xf>
    <xf numFmtId="0" fontId="6" fillId="0" borderId="1" xfId="17" applyBorder="1" applyAlignment="1">
      <alignment horizontal="left" vertical="top" wrapText="1"/>
    </xf>
    <xf numFmtId="0" fontId="6" fillId="0" borderId="1" xfId="17" applyBorder="1" applyAlignment="1">
      <alignment horizontal="center" vertical="top" wrapText="1"/>
    </xf>
    <xf numFmtId="169" fontId="6" fillId="0" borderId="0" xfId="17" applyNumberFormat="1" applyAlignment="1">
      <alignment horizontal="right"/>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Border="1" applyAlignment="1">
      <alignment vertical="center" wrapText="1"/>
    </xf>
    <xf numFmtId="49" fontId="6" fillId="0" borderId="0" xfId="17" applyNumberFormat="1" applyAlignment="1">
      <alignmen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4" xfId="17" applyBorder="1" applyAlignment="1">
      <alignment vertical="center"/>
    </xf>
    <xf numFmtId="49" fontId="7" fillId="0" borderId="11" xfId="17" applyNumberFormat="1" applyFont="1" applyBorder="1" applyAlignment="1">
      <alignment vertical="center"/>
    </xf>
    <xf numFmtId="0" fontId="6" fillId="0" borderId="15" xfId="17" applyBorder="1" applyAlignment="1">
      <alignment horizontal="center" wrapText="1"/>
    </xf>
    <xf numFmtId="0" fontId="6" fillId="0" borderId="1" xfId="17" applyBorder="1" applyAlignment="1">
      <alignment horizontal="right" vertical="center" wrapText="1"/>
    </xf>
    <xf numFmtId="49" fontId="7" fillId="0" borderId="12" xfId="17" applyNumberFormat="1" applyFont="1" applyBorder="1" applyAlignment="1">
      <alignment horizontal="right" vertical="center"/>
    </xf>
    <xf numFmtId="49" fontId="6" fillId="0" borderId="1" xfId="17" applyNumberForma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0" fontId="7" fillId="0" borderId="0" xfId="17" applyFont="1" applyAlignment="1">
      <alignment horizontal="left" vertical="top"/>
    </xf>
    <xf numFmtId="0" fontId="6" fillId="0" borderId="4" xfId="17" applyBorder="1" applyAlignment="1">
      <alignment horizontal="right" vertical="center"/>
    </xf>
    <xf numFmtId="0" fontId="6" fillId="0" borderId="4" xfId="17" applyBorder="1" applyAlignment="1">
      <alignment horizontal="left" vertical="center" wrapText="1"/>
    </xf>
    <xf numFmtId="0" fontId="6" fillId="0" borderId="0" xfId="0" applyFont="1"/>
    <xf numFmtId="0" fontId="17" fillId="0" borderId="0" xfId="17" applyFont="1" applyAlignment="1">
      <alignment vertical="center"/>
    </xf>
    <xf numFmtId="0" fontId="17" fillId="0" borderId="0" xfId="17" applyFont="1" applyAlignment="1">
      <alignment horizontal="right" vertical="center"/>
    </xf>
    <xf numFmtId="0" fontId="17" fillId="0" borderId="0" xfId="17" applyFont="1" applyAlignment="1">
      <alignment horizontal="center" vertical="center"/>
    </xf>
    <xf numFmtId="0" fontId="17" fillId="0" borderId="0" xfId="17" applyFont="1" applyAlignment="1">
      <alignment horizontal="left" vertical="center"/>
    </xf>
    <xf numFmtId="49" fontId="17" fillId="0" borderId="0" xfId="17" applyNumberFormat="1" applyFont="1" applyAlignment="1">
      <alignment horizontal="left" vertical="center"/>
    </xf>
    <xf numFmtId="3" fontId="17" fillId="0" borderId="1" xfId="1" applyNumberFormat="1" applyFont="1" applyBorder="1" applyAlignment="1">
      <alignment horizontal="center" wrapText="1"/>
    </xf>
    <xf numFmtId="0" fontId="17" fillId="0" borderId="1" xfId="17" applyFont="1" applyBorder="1" applyAlignment="1">
      <alignment horizontal="center"/>
    </xf>
    <xf numFmtId="0" fontId="17" fillId="0" borderId="1" xfId="17" applyFont="1" applyBorder="1" applyAlignment="1">
      <alignment horizontal="center" wrapText="1"/>
    </xf>
    <xf numFmtId="0" fontId="17" fillId="0" borderId="1" xfId="17" applyFont="1" applyBorder="1" applyAlignment="1">
      <alignment horizontal="left" vertical="center" wrapText="1"/>
    </xf>
    <xf numFmtId="0" fontId="17" fillId="0" borderId="1" xfId="17" applyFont="1" applyBorder="1" applyAlignment="1">
      <alignment horizontal="center" vertical="center" wrapText="1"/>
    </xf>
    <xf numFmtId="49" fontId="17" fillId="0" borderId="1" xfId="17" applyNumberFormat="1" applyFont="1" applyBorder="1" applyAlignment="1">
      <alignment horizontal="right" vertical="center" wrapText="1"/>
    </xf>
    <xf numFmtId="0" fontId="17" fillId="0" borderId="3" xfId="17" applyFont="1" applyBorder="1" applyAlignment="1">
      <alignment horizontal="left" vertical="center" wrapText="1"/>
    </xf>
    <xf numFmtId="0" fontId="18" fillId="0" borderId="1" xfId="17" applyFont="1" applyBorder="1" applyAlignment="1">
      <alignment horizontal="left" vertical="center" wrapText="1"/>
    </xf>
    <xf numFmtId="49" fontId="18" fillId="0" borderId="1" xfId="17" applyNumberFormat="1" applyFont="1" applyBorder="1" applyAlignment="1">
      <alignment horizontal="right" vertical="center" wrapText="1"/>
    </xf>
    <xf numFmtId="3" fontId="17" fillId="0" borderId="1" xfId="1" applyNumberFormat="1" applyFont="1" applyBorder="1" applyAlignment="1">
      <alignment horizontal="center" vertical="center" wrapText="1"/>
    </xf>
    <xf numFmtId="0" fontId="17" fillId="0" borderId="3" xfId="17" applyFont="1" applyBorder="1" applyAlignment="1">
      <alignment horizontal="left" vertical="center"/>
    </xf>
    <xf numFmtId="49" fontId="17" fillId="0" borderId="1" xfId="17" applyNumberFormat="1" applyFont="1" applyBorder="1" applyAlignment="1">
      <alignment horizontal="right" wrapText="1"/>
    </xf>
    <xf numFmtId="49" fontId="17" fillId="0" borderId="1" xfId="17" applyNumberFormat="1" applyFont="1" applyBorder="1" applyAlignment="1">
      <alignment horizontal="right" vertical="top" wrapText="1"/>
    </xf>
    <xf numFmtId="170" fontId="17" fillId="0" borderId="0" xfId="3" applyNumberFormat="1" applyFont="1" applyBorder="1" applyAlignment="1">
      <alignment horizontal="right" wrapText="1"/>
    </xf>
    <xf numFmtId="0" fontId="17" fillId="0" borderId="0" xfId="17" applyFont="1" applyAlignment="1">
      <alignment horizontal="right"/>
    </xf>
    <xf numFmtId="169" fontId="17" fillId="0" borderId="0" xfId="17" applyNumberFormat="1" applyFont="1" applyAlignment="1">
      <alignment horizontal="right"/>
    </xf>
    <xf numFmtId="170" fontId="17" fillId="0" borderId="0" xfId="1" applyNumberFormat="1" applyFont="1" applyBorder="1" applyAlignment="1">
      <alignment horizontal="right" wrapText="1"/>
    </xf>
    <xf numFmtId="170" fontId="17" fillId="0" borderId="0" xfId="3" applyNumberFormat="1" applyFont="1" applyBorder="1" applyAlignment="1">
      <alignment wrapText="1"/>
    </xf>
    <xf numFmtId="0" fontId="18" fillId="0" borderId="0" xfId="17" applyFont="1" applyAlignment="1">
      <alignment horizontal="center" vertical="center"/>
    </xf>
    <xf numFmtId="0" fontId="18" fillId="0" borderId="0" xfId="17" applyFont="1" applyAlignment="1">
      <alignment horizontal="center" vertical="center" wrapText="1"/>
    </xf>
    <xf numFmtId="49" fontId="18" fillId="0" borderId="0" xfId="17" applyNumberFormat="1" applyFont="1" applyAlignment="1">
      <alignment horizontal="left" vertical="center" wrapText="1"/>
    </xf>
    <xf numFmtId="0" fontId="18" fillId="0" borderId="0" xfId="17" applyFont="1" applyAlignment="1">
      <alignment horizontal="left" vertical="top"/>
    </xf>
    <xf numFmtId="0" fontId="18" fillId="0" borderId="0" xfId="17" applyFont="1" applyAlignment="1">
      <alignment horizontal="left" vertical="center"/>
    </xf>
    <xf numFmtId="0" fontId="18" fillId="0" borderId="0" xfId="17" applyFont="1" applyAlignment="1">
      <alignment horizontal="right" vertical="center"/>
    </xf>
    <xf numFmtId="0" fontId="19" fillId="0" borderId="1" xfId="17" applyFont="1" applyBorder="1" applyAlignment="1">
      <alignment horizontal="center" vertical="center" wrapText="1"/>
    </xf>
    <xf numFmtId="44" fontId="0" fillId="0" borderId="0" xfId="3" applyNumberFormat="1" applyFont="1" applyAlignment="1">
      <alignment vertical="center" wrapText="1"/>
    </xf>
    <xf numFmtId="0" fontId="6" fillId="0" borderId="0" xfId="17" applyAlignment="1">
      <alignment horizontal="left" vertical="center" wrapText="1" indent="1"/>
    </xf>
    <xf numFmtId="49" fontId="6" fillId="3" borderId="0" xfId="0" applyNumberFormat="1" applyFont="1" applyFill="1" applyAlignment="1">
      <alignment horizontal="left" vertical="center"/>
    </xf>
    <xf numFmtId="49" fontId="6" fillId="3" borderId="0" xfId="0" applyNumberFormat="1" applyFont="1" applyFill="1" applyAlignment="1">
      <alignment horizontal="left" vertical="top"/>
    </xf>
    <xf numFmtId="49" fontId="6" fillId="3" borderId="0" xfId="0" applyNumberFormat="1" applyFont="1" applyFill="1" applyAlignment="1">
      <alignment horizontal="left" vertical="top" wrapText="1"/>
    </xf>
    <xf numFmtId="0" fontId="6" fillId="0" borderId="17" xfId="17" applyBorder="1" applyAlignment="1">
      <alignment horizontal="left" vertical="center" wrapText="1"/>
    </xf>
    <xf numFmtId="49" fontId="7" fillId="0" borderId="11" xfId="17" applyNumberFormat="1" applyFon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49" fontId="7" fillId="0" borderId="1" xfId="17" applyNumberFormat="1" applyFont="1" applyBorder="1" applyAlignment="1">
      <alignment horizontal="right" vertical="center"/>
    </xf>
    <xf numFmtId="0" fontId="7" fillId="0" borderId="12" xfId="17" applyFont="1" applyBorder="1" applyAlignment="1">
      <alignment horizontal="right" vertical="center"/>
    </xf>
    <xf numFmtId="0" fontId="17" fillId="0" borderId="17" xfId="17" applyFont="1" applyBorder="1" applyAlignment="1">
      <alignment horizontal="left" vertical="center" wrapText="1"/>
    </xf>
    <xf numFmtId="0" fontId="6" fillId="0" borderId="0" xfId="0" applyFont="1" applyAlignment="1">
      <alignment wrapText="1"/>
    </xf>
    <xf numFmtId="0" fontId="7" fillId="0" borderId="0" xfId="0" applyFont="1"/>
    <xf numFmtId="0" fontId="6" fillId="4" borderId="11" xfId="0" applyFont="1" applyFill="1" applyBorder="1" applyAlignment="1">
      <alignment horizontal="center"/>
    </xf>
    <xf numFmtId="175" fontId="0" fillId="3" borderId="11" xfId="0" applyNumberFormat="1" applyFill="1" applyBorder="1" applyAlignment="1">
      <alignment horizontal="center"/>
    </xf>
    <xf numFmtId="0" fontId="6" fillId="4" borderId="19" xfId="0" applyFont="1" applyFill="1" applyBorder="1"/>
    <xf numFmtId="0" fontId="0" fillId="3" borderId="19" xfId="0" applyFill="1" applyBorder="1"/>
    <xf numFmtId="0" fontId="6" fillId="4" borderId="0" xfId="0" applyFont="1" applyFill="1"/>
    <xf numFmtId="0" fontId="6" fillId="4" borderId="20" xfId="0" applyFont="1" applyFill="1" applyBorder="1"/>
    <xf numFmtId="0" fontId="6" fillId="4" borderId="21" xfId="0" applyFont="1" applyFill="1" applyBorder="1"/>
    <xf numFmtId="0" fontId="6" fillId="4" borderId="22" xfId="0" applyFont="1" applyFill="1" applyBorder="1"/>
    <xf numFmtId="0" fontId="6" fillId="3" borderId="23" xfId="0" applyFont="1" applyFill="1" applyBorder="1"/>
    <xf numFmtId="0" fontId="0" fillId="3" borderId="14" xfId="0" applyFill="1" applyBorder="1"/>
    <xf numFmtId="0" fontId="6" fillId="3" borderId="14" xfId="0" applyFont="1" applyFill="1" applyBorder="1"/>
    <xf numFmtId="0" fontId="0" fillId="4" borderId="24" xfId="0" applyFill="1" applyBorder="1"/>
    <xf numFmtId="0" fontId="6" fillId="3" borderId="25" xfId="0" applyFont="1" applyFill="1" applyBorder="1"/>
    <xf numFmtId="0" fontId="0" fillId="3" borderId="15" xfId="0" applyFill="1" applyBorder="1"/>
    <xf numFmtId="0" fontId="6" fillId="3" borderId="26" xfId="0" applyFont="1" applyFill="1" applyBorder="1"/>
    <xf numFmtId="0" fontId="0" fillId="4" borderId="27" xfId="0" applyFill="1" applyBorder="1"/>
    <xf numFmtId="0" fontId="6" fillId="4" borderId="28" xfId="0" applyFont="1" applyFill="1" applyBorder="1"/>
    <xf numFmtId="0" fontId="23" fillId="0" borderId="0" xfId="0" applyFont="1"/>
    <xf numFmtId="0" fontId="0" fillId="4" borderId="30" xfId="0" applyFill="1" applyBorder="1"/>
    <xf numFmtId="0" fontId="6" fillId="4" borderId="31" xfId="0" applyFont="1" applyFill="1" applyBorder="1"/>
    <xf numFmtId="0" fontId="0" fillId="3" borderId="22" xfId="0" applyFill="1" applyBorder="1"/>
    <xf numFmtId="170" fontId="6" fillId="0" borderId="0" xfId="3" applyNumberFormat="1" applyFont="1" applyFill="1" applyBorder="1" applyAlignment="1">
      <alignment horizontal="right" vertical="center" wrapText="1"/>
    </xf>
    <xf numFmtId="170" fontId="6" fillId="0" borderId="1" xfId="17" applyNumberFormat="1" applyBorder="1" applyAlignment="1">
      <alignment horizontal="center" vertical="center" wrapText="1"/>
    </xf>
    <xf numFmtId="3" fontId="6" fillId="0" borderId="1" xfId="1" applyNumberFormat="1" applyFont="1" applyFill="1" applyBorder="1" applyAlignment="1">
      <alignment horizontal="center" vertical="center" wrapText="1"/>
    </xf>
    <xf numFmtId="170" fontId="6" fillId="0" borderId="0" xfId="1" applyNumberFormat="1" applyFont="1" applyFill="1" applyBorder="1" applyAlignment="1">
      <alignment horizontal="right" vertical="center" wrapText="1"/>
    </xf>
    <xf numFmtId="49" fontId="17" fillId="0" borderId="1" xfId="0" applyNumberFormat="1" applyFont="1" applyBorder="1" applyAlignment="1">
      <alignment vertical="top" wrapText="1"/>
    </xf>
    <xf numFmtId="0" fontId="17" fillId="0" borderId="1" xfId="0" applyFont="1" applyBorder="1" applyAlignment="1">
      <alignment horizontal="center"/>
    </xf>
    <xf numFmtId="0" fontId="17" fillId="0" borderId="1" xfId="0" applyFont="1" applyBorder="1" applyAlignment="1" applyProtection="1">
      <alignment horizontal="left" vertical="top" wrapText="1" indent="1"/>
      <protection locked="0"/>
    </xf>
    <xf numFmtId="0" fontId="17" fillId="0" borderId="1" xfId="0" applyFont="1" applyBorder="1" applyAlignment="1" applyProtection="1">
      <alignment horizontal="center"/>
      <protection locked="0"/>
    </xf>
    <xf numFmtId="0" fontId="17" fillId="0" borderId="1" xfId="0" applyFont="1" applyBorder="1" applyAlignment="1" applyProtection="1">
      <alignment vertical="top" wrapText="1"/>
      <protection locked="0"/>
    </xf>
    <xf numFmtId="49" fontId="18" fillId="0" borderId="1" xfId="17" applyNumberFormat="1" applyFont="1" applyBorder="1" applyAlignment="1">
      <alignment horizontal="right" vertical="top" wrapText="1"/>
    </xf>
    <xf numFmtId="49" fontId="17" fillId="0" borderId="1" xfId="17" applyNumberFormat="1" applyFont="1" applyBorder="1" applyAlignment="1">
      <alignment horizontal="left" vertical="top" wrapText="1"/>
    </xf>
    <xf numFmtId="4" fontId="6" fillId="0" borderId="1" xfId="1" applyNumberFormat="1" applyFont="1" applyBorder="1" applyAlignment="1">
      <alignment horizontal="center" wrapText="1"/>
    </xf>
    <xf numFmtId="0" fontId="17" fillId="0" borderId="1" xfId="12" applyFont="1" applyBorder="1" applyAlignment="1">
      <alignment horizontal="center" vertical="center"/>
    </xf>
    <xf numFmtId="3" fontId="17" fillId="0" borderId="1" xfId="0" applyNumberFormat="1" applyFont="1" applyBorder="1" applyAlignment="1" applyProtection="1">
      <alignment horizontal="center"/>
      <protection locked="0"/>
    </xf>
    <xf numFmtId="0" fontId="17" fillId="0" borderId="1" xfId="0" applyFont="1" applyBorder="1" applyAlignment="1">
      <alignment horizontal="center" vertical="center"/>
    </xf>
    <xf numFmtId="0" fontId="17" fillId="0" borderId="1" xfId="0" applyFont="1" applyBorder="1" applyAlignment="1" applyProtection="1">
      <alignment horizontal="left" vertical="top" wrapText="1"/>
      <protection locked="0"/>
    </xf>
    <xf numFmtId="174" fontId="6" fillId="0" borderId="0" xfId="17" applyNumberForma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44" fontId="18" fillId="0" borderId="32" xfId="3" applyNumberFormat="1" applyFont="1" applyBorder="1" applyAlignment="1" applyProtection="1">
      <alignment horizontal="center" vertical="center" wrapText="1"/>
      <protection locked="0"/>
    </xf>
    <xf numFmtId="44" fontId="18" fillId="0" borderId="30" xfId="3" applyNumberFormat="1" applyFont="1" applyBorder="1" applyAlignment="1" applyProtection="1">
      <alignment horizontal="center" vertical="center" wrapText="1"/>
      <protection locked="0"/>
    </xf>
    <xf numFmtId="0" fontId="6" fillId="0" borderId="34" xfId="17" applyBorder="1" applyAlignment="1">
      <alignment vertical="center" wrapText="1"/>
    </xf>
    <xf numFmtId="0" fontId="6" fillId="0" borderId="35" xfId="17" applyBorder="1" applyAlignment="1">
      <alignment vertical="center" wrapText="1"/>
    </xf>
    <xf numFmtId="0" fontId="18" fillId="0" borderId="20" xfId="17" applyFont="1" applyBorder="1" applyAlignment="1">
      <alignment horizontal="center" vertical="center" wrapText="1"/>
    </xf>
    <xf numFmtId="0" fontId="18" fillId="0" borderId="21" xfId="17" applyFont="1" applyBorder="1" applyAlignment="1">
      <alignment horizontal="center" vertical="center" wrapText="1"/>
    </xf>
    <xf numFmtId="44" fontId="18" fillId="0" borderId="22" xfId="3" applyNumberFormat="1" applyFont="1" applyBorder="1" applyAlignment="1" applyProtection="1">
      <alignment horizontal="center" vertical="center" wrapText="1"/>
      <protection locked="0"/>
    </xf>
    <xf numFmtId="44" fontId="18" fillId="0" borderId="20" xfId="3" applyNumberFormat="1" applyFont="1" applyBorder="1" applyAlignment="1" applyProtection="1">
      <alignment horizontal="center" vertical="center" wrapText="1"/>
      <protection locked="0"/>
    </xf>
    <xf numFmtId="44" fontId="18" fillId="0" borderId="36" xfId="3" applyNumberFormat="1" applyFont="1" applyBorder="1" applyAlignment="1" applyProtection="1">
      <alignment horizontal="center" vertical="center" wrapText="1"/>
      <protection locked="0"/>
    </xf>
    <xf numFmtId="177" fontId="18"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177" fontId="18" fillId="0" borderId="20" xfId="3" applyNumberFormat="1" applyFont="1" applyBorder="1" applyAlignment="1" applyProtection="1">
      <alignment horizontal="center" vertical="center" wrapText="1"/>
      <protection locked="0"/>
    </xf>
    <xf numFmtId="177" fontId="18" fillId="0" borderId="36" xfId="3" applyNumberFormat="1" applyFont="1" applyBorder="1" applyAlignment="1" applyProtection="1">
      <alignment horizontal="center" vertical="center" wrapText="1"/>
      <protection locked="0"/>
    </xf>
    <xf numFmtId="0" fontId="17" fillId="0" borderId="23" xfId="17" applyFont="1" applyBorder="1" applyAlignment="1">
      <alignment horizontal="center" vertical="center" wrapText="1"/>
    </xf>
    <xf numFmtId="178" fontId="17" fillId="0" borderId="24" xfId="3" applyNumberFormat="1" applyFont="1" applyBorder="1" applyAlignment="1">
      <alignment horizontal="right" vertical="center" wrapText="1"/>
    </xf>
    <xf numFmtId="171" fontId="17" fillId="3" borderId="23" xfId="3" applyNumberFormat="1" applyFont="1" applyFill="1" applyBorder="1" applyAlignment="1">
      <alignment horizontal="center" vertical="center" wrapText="1"/>
    </xf>
    <xf numFmtId="178" fontId="17" fillId="0" borderId="5" xfId="3" applyNumberFormat="1" applyFont="1" applyBorder="1" applyAlignment="1">
      <alignment horizontal="right" vertical="center" wrapText="1"/>
    </xf>
    <xf numFmtId="177" fontId="17" fillId="0" borderId="24" xfId="3" applyNumberFormat="1" applyFont="1" applyBorder="1" applyAlignment="1">
      <alignment horizontal="right" vertical="center" wrapText="1"/>
    </xf>
    <xf numFmtId="10" fontId="6" fillId="0" borderId="0" xfId="17" applyNumberFormat="1" applyAlignment="1">
      <alignment horizontal="left" vertical="center" wrapText="1" indent="1"/>
    </xf>
    <xf numFmtId="178" fontId="17" fillId="0" borderId="37" xfId="3" applyNumberFormat="1" applyFont="1" applyBorder="1" applyAlignment="1">
      <alignment horizontal="right" vertical="center" wrapText="1"/>
    </xf>
    <xf numFmtId="177" fontId="17" fillId="0" borderId="23" xfId="3" applyNumberFormat="1" applyFont="1" applyBorder="1" applyAlignment="1">
      <alignment horizontal="right" vertical="center" wrapText="1"/>
    </xf>
    <xf numFmtId="177" fontId="17" fillId="0" borderId="5" xfId="3" applyNumberFormat="1" applyFont="1" applyBorder="1" applyAlignment="1">
      <alignment horizontal="right" vertical="center" wrapText="1"/>
    </xf>
    <xf numFmtId="178" fontId="17" fillId="0" borderId="38" xfId="3" applyNumberFormat="1" applyFont="1" applyBorder="1" applyAlignment="1">
      <alignment horizontal="right" vertical="center" wrapText="1"/>
    </xf>
    <xf numFmtId="178" fontId="17" fillId="0" borderId="39" xfId="3" applyNumberFormat="1" applyFont="1" applyBorder="1" applyAlignment="1">
      <alignment horizontal="right" vertical="center" wrapText="1"/>
    </xf>
    <xf numFmtId="0" fontId="17" fillId="0" borderId="40" xfId="17" applyFont="1" applyBorder="1" applyAlignment="1">
      <alignment horizontal="center" vertical="center" wrapText="1"/>
    </xf>
    <xf numFmtId="0" fontId="17" fillId="0" borderId="11" xfId="17" applyFont="1" applyBorder="1" applyAlignment="1">
      <alignment horizontal="left" vertical="center" wrapText="1"/>
    </xf>
    <xf numFmtId="178" fontId="17" fillId="0" borderId="41" xfId="3" applyNumberFormat="1" applyFont="1" applyBorder="1" applyAlignment="1">
      <alignment horizontal="right" vertical="center" wrapText="1"/>
    </xf>
    <xf numFmtId="171" fontId="17" fillId="3" borderId="40" xfId="3" applyNumberFormat="1" applyFont="1" applyFill="1" applyBorder="1" applyAlignment="1">
      <alignment horizontal="center" vertical="center" wrapText="1"/>
    </xf>
    <xf numFmtId="178" fontId="17" fillId="0" borderId="12" xfId="3" applyNumberFormat="1" applyFont="1" applyBorder="1" applyAlignment="1">
      <alignment horizontal="right" vertical="center" wrapText="1"/>
    </xf>
    <xf numFmtId="177" fontId="17" fillId="0" borderId="41" xfId="3" applyNumberFormat="1" applyFont="1" applyBorder="1" applyAlignment="1">
      <alignment horizontal="right" vertical="center" wrapText="1"/>
    </xf>
    <xf numFmtId="178" fontId="17" fillId="0" borderId="42" xfId="3" applyNumberFormat="1" applyFont="1" applyBorder="1" applyAlignment="1">
      <alignment horizontal="right" vertical="center" wrapText="1"/>
    </xf>
    <xf numFmtId="177" fontId="17" fillId="0" borderId="40" xfId="3" applyNumberFormat="1" applyFont="1" applyBorder="1" applyAlignment="1">
      <alignment horizontal="right" vertical="center" wrapText="1"/>
    </xf>
    <xf numFmtId="177" fontId="17" fillId="0" borderId="12" xfId="3" applyNumberFormat="1" applyFont="1" applyBorder="1" applyAlignment="1">
      <alignment horizontal="right" vertical="center" wrapText="1"/>
    </xf>
    <xf numFmtId="178" fontId="17" fillId="0" borderId="43" xfId="3" applyNumberFormat="1" applyFont="1" applyBorder="1" applyAlignment="1">
      <alignment horizontal="right" vertical="center" wrapText="1"/>
    </xf>
    <xf numFmtId="178" fontId="17" fillId="0" borderId="46" xfId="3" applyNumberFormat="1" applyFont="1" applyBorder="1" applyAlignment="1">
      <alignment horizontal="right" vertical="center" wrapText="1"/>
    </xf>
    <xf numFmtId="0" fontId="17" fillId="0" borderId="42" xfId="17" applyFont="1" applyBorder="1" applyAlignment="1">
      <alignment horizontal="center" vertical="center" wrapText="1"/>
    </xf>
    <xf numFmtId="171" fontId="17" fillId="0" borderId="40" xfId="3" applyNumberFormat="1" applyFont="1" applyBorder="1" applyAlignment="1">
      <alignment horizontal="center" vertical="center" wrapText="1"/>
    </xf>
    <xf numFmtId="178" fontId="17" fillId="0" borderId="45" xfId="3" applyNumberFormat="1" applyFont="1" applyBorder="1" applyAlignment="1">
      <alignment horizontal="right" vertical="center" wrapText="1"/>
    </xf>
    <xf numFmtId="178" fontId="17" fillId="0" borderId="48" xfId="3" applyNumberFormat="1" applyFont="1" applyBorder="1" applyAlignment="1">
      <alignment horizontal="right" vertical="center" wrapText="1"/>
    </xf>
    <xf numFmtId="171" fontId="17" fillId="0" borderId="25" xfId="3" applyNumberFormat="1" applyFont="1" applyBorder="1" applyAlignment="1">
      <alignment horizontal="center" vertical="center" wrapText="1"/>
    </xf>
    <xf numFmtId="178" fontId="17" fillId="0" borderId="8" xfId="3" applyNumberFormat="1" applyFont="1" applyBorder="1" applyAlignment="1">
      <alignment horizontal="right" vertical="center" wrapText="1"/>
    </xf>
    <xf numFmtId="177" fontId="17" fillId="0" borderId="48" xfId="3" applyNumberFormat="1" applyFont="1" applyBorder="1" applyAlignment="1">
      <alignment horizontal="right" vertical="center" wrapText="1"/>
    </xf>
    <xf numFmtId="177" fontId="17" fillId="0" borderId="25" xfId="3" applyNumberFormat="1" applyFont="1" applyBorder="1" applyAlignment="1">
      <alignment horizontal="right" vertical="center" wrapText="1"/>
    </xf>
    <xf numFmtId="177" fontId="17" fillId="0" borderId="8" xfId="3" applyNumberFormat="1" applyFont="1" applyBorder="1" applyAlignment="1">
      <alignment horizontal="right" vertical="center" wrapText="1"/>
    </xf>
    <xf numFmtId="178" fontId="17" fillId="0" borderId="44" xfId="3" applyNumberFormat="1" applyFont="1" applyBorder="1" applyAlignment="1">
      <alignment horizontal="right" vertical="center" wrapText="1"/>
    </xf>
    <xf numFmtId="178" fontId="18" fillId="0" borderId="22" xfId="3" applyNumberFormat="1" applyFont="1" applyBorder="1" applyAlignment="1">
      <alignment horizontal="right" vertical="center" wrapText="1"/>
    </xf>
    <xf numFmtId="171" fontId="18" fillId="0" borderId="20" xfId="3" applyNumberFormat="1" applyFont="1" applyBorder="1" applyAlignment="1">
      <alignment horizontal="center" vertical="center" wrapText="1"/>
    </xf>
    <xf numFmtId="39" fontId="18" fillId="0" borderId="36" xfId="3" applyNumberFormat="1" applyFont="1" applyBorder="1" applyAlignment="1">
      <alignment horizontal="right" vertical="center" wrapText="1"/>
    </xf>
    <xf numFmtId="177" fontId="18" fillId="0" borderId="22" xfId="3" applyNumberFormat="1" applyFont="1" applyBorder="1" applyAlignment="1">
      <alignment horizontal="right" vertical="center" wrapText="1"/>
    </xf>
    <xf numFmtId="178" fontId="18" fillId="0" borderId="32" xfId="3" applyNumberFormat="1" applyFont="1" applyBorder="1" applyAlignment="1">
      <alignment horizontal="right" vertical="center" wrapText="1"/>
    </xf>
    <xf numFmtId="0" fontId="7" fillId="0" borderId="50" xfId="17" applyFont="1" applyBorder="1" applyAlignment="1">
      <alignment horizontal="right" vertical="center"/>
    </xf>
    <xf numFmtId="0" fontId="7" fillId="0" borderId="51" xfId="17" applyFont="1" applyBorder="1" applyAlignment="1">
      <alignment horizontal="right" vertical="center"/>
    </xf>
    <xf numFmtId="178" fontId="18" fillId="0" borderId="30" xfId="3" applyNumberFormat="1" applyFont="1" applyBorder="1" applyAlignment="1">
      <alignment horizontal="right" vertical="center" wrapText="1"/>
    </xf>
    <xf numFmtId="0" fontId="6" fillId="0" borderId="0" xfId="17" applyAlignment="1">
      <alignment horizontal="center" vertical="center" wrapText="1"/>
    </xf>
    <xf numFmtId="169" fontId="14" fillId="0" borderId="0" xfId="1" applyFont="1" applyAlignment="1">
      <alignment vertical="center" wrapText="1"/>
    </xf>
    <xf numFmtId="0" fontId="7" fillId="0" borderId="12" xfId="17" applyFont="1" applyBorder="1" applyAlignment="1">
      <alignment horizontal="left" vertical="center" indent="1"/>
    </xf>
    <xf numFmtId="0" fontId="7" fillId="0" borderId="18" xfId="17" applyFont="1" applyBorder="1" applyAlignment="1">
      <alignment horizontal="left" vertical="center" indent="1"/>
    </xf>
    <xf numFmtId="44" fontId="7" fillId="0" borderId="11" xfId="3" applyNumberFormat="1" applyFont="1" applyBorder="1" applyAlignment="1">
      <alignment vertical="center" wrapText="1"/>
    </xf>
    <xf numFmtId="171" fontId="7" fillId="0" borderId="11" xfId="7" applyNumberFormat="1" applyFont="1" applyBorder="1" applyAlignment="1">
      <alignment horizontal="center" vertical="center" wrapText="1"/>
    </xf>
    <xf numFmtId="0" fontId="6" fillId="0" borderId="12" xfId="17" applyBorder="1" applyAlignment="1">
      <alignment horizontal="left" vertical="center" indent="1"/>
    </xf>
    <xf numFmtId="0" fontId="6" fillId="0" borderId="18" xfId="17" applyBorder="1" applyAlignment="1">
      <alignment horizontal="left" vertical="center" indent="1"/>
    </xf>
    <xf numFmtId="44" fontId="0" fillId="0" borderId="11" xfId="3" applyNumberFormat="1" applyFont="1" applyBorder="1" applyAlignment="1">
      <alignment vertical="center" wrapText="1"/>
    </xf>
    <xf numFmtId="171" fontId="6" fillId="0" borderId="11" xfId="7" applyNumberFormat="1" applyBorder="1" applyAlignment="1">
      <alignment horizontal="center" vertical="center" wrapText="1"/>
    </xf>
    <xf numFmtId="44" fontId="6" fillId="0" borderId="11" xfId="3" applyNumberFormat="1" applyBorder="1" applyAlignment="1">
      <alignment vertical="center" wrapText="1"/>
    </xf>
    <xf numFmtId="0" fontId="24" fillId="0" borderId="0" xfId="17" applyFont="1" applyAlignment="1">
      <alignment horizontal="center" vertical="center"/>
    </xf>
    <xf numFmtId="39" fontId="17" fillId="0" borderId="41" xfId="3" applyNumberFormat="1" applyFont="1" applyBorder="1" applyAlignment="1">
      <alignment horizontal="right" vertical="center" wrapText="1"/>
    </xf>
    <xf numFmtId="10" fontId="6" fillId="0" borderId="0" xfId="17" applyNumberFormat="1" applyAlignment="1">
      <alignment vertical="center" wrapText="1"/>
    </xf>
    <xf numFmtId="10" fontId="6" fillId="2" borderId="0" xfId="17" applyNumberFormat="1" applyFill="1" applyAlignment="1">
      <alignment vertical="center" wrapText="1"/>
    </xf>
    <xf numFmtId="0" fontId="17" fillId="0" borderId="23" xfId="17" applyFont="1" applyBorder="1" applyAlignment="1">
      <alignment horizontal="left" vertical="center" wrapText="1"/>
    </xf>
    <xf numFmtId="3" fontId="17" fillId="0" borderId="1" xfId="15" applyNumberFormat="1" applyFont="1" applyBorder="1" applyAlignment="1">
      <alignment horizontal="center"/>
    </xf>
    <xf numFmtId="0" fontId="17" fillId="0" borderId="1" xfId="0" applyFont="1" applyBorder="1" applyAlignment="1">
      <alignment horizontal="center" wrapText="1"/>
    </xf>
    <xf numFmtId="179" fontId="17" fillId="0" borderId="1" xfId="0" applyNumberFormat="1" applyFont="1" applyBorder="1" applyAlignment="1">
      <alignment horizontal="center" wrapText="1"/>
    </xf>
    <xf numFmtId="0" fontId="17" fillId="0" borderId="1" xfId="0" applyFont="1" applyBorder="1" applyAlignment="1">
      <alignment horizontal="left" vertical="top" wrapText="1"/>
    </xf>
    <xf numFmtId="0" fontId="17" fillId="0" borderId="1" xfId="0" applyFont="1" applyBorder="1" applyAlignment="1">
      <alignment horizontal="left" vertical="top" wrapText="1" indent="1"/>
    </xf>
    <xf numFmtId="3" fontId="6" fillId="0" borderId="1" xfId="17" applyNumberFormat="1" applyBorder="1" applyAlignment="1">
      <alignment horizontal="center" vertical="center" wrapText="1"/>
    </xf>
    <xf numFmtId="38" fontId="17" fillId="0" borderId="1" xfId="0" applyNumberFormat="1" applyFont="1" applyBorder="1" applyAlignment="1" applyProtection="1">
      <alignment horizontal="center" wrapText="1"/>
      <protection locked="0"/>
    </xf>
    <xf numFmtId="38" fontId="17" fillId="0" borderId="1" xfId="0" applyNumberFormat="1" applyFont="1" applyBorder="1" applyAlignment="1">
      <alignment horizontal="center" wrapText="1"/>
    </xf>
    <xf numFmtId="40" fontId="17" fillId="0" borderId="1" xfId="0" applyNumberFormat="1" applyFont="1" applyBorder="1" applyAlignment="1" applyProtection="1">
      <alignment horizontal="center" wrapText="1"/>
      <protection locked="0"/>
    </xf>
    <xf numFmtId="0" fontId="0" fillId="0" borderId="0" xfId="0" applyAlignment="1">
      <alignment horizontal="center" vertical="center" wrapText="1"/>
    </xf>
    <xf numFmtId="0" fontId="0" fillId="0" borderId="0" xfId="0" applyAlignment="1">
      <alignment horizontal="left" vertical="center" wrapText="1"/>
    </xf>
    <xf numFmtId="0" fontId="7" fillId="0" borderId="12" xfId="0" applyFont="1" applyBorder="1" applyAlignment="1">
      <alignment horizontal="left" vertical="center" indent="1"/>
    </xf>
    <xf numFmtId="0" fontId="7" fillId="0" borderId="18" xfId="0" applyFont="1" applyBorder="1" applyAlignment="1">
      <alignment horizontal="left" vertical="center" indent="1"/>
    </xf>
    <xf numFmtId="0" fontId="6" fillId="0" borderId="12" xfId="0" applyFont="1" applyBorder="1" applyAlignment="1">
      <alignment horizontal="left" vertical="center" indent="1"/>
    </xf>
    <xf numFmtId="0" fontId="6" fillId="0" borderId="18" xfId="0" applyFont="1" applyBorder="1" applyAlignment="1">
      <alignment horizontal="left" vertical="center" indent="1"/>
    </xf>
    <xf numFmtId="0" fontId="17" fillId="0" borderId="18" xfId="17" applyFont="1" applyBorder="1" applyAlignment="1">
      <alignment horizontal="left" vertical="center" wrapText="1"/>
    </xf>
    <xf numFmtId="170" fontId="6" fillId="0" borderId="0" xfId="3" applyNumberFormat="1" applyFont="1" applyFill="1" applyBorder="1" applyAlignment="1">
      <alignment horizontal="right" wrapText="1"/>
    </xf>
    <xf numFmtId="49" fontId="17"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180" fontId="18" fillId="0" borderId="36" xfId="17" applyNumberFormat="1" applyFont="1" applyBorder="1" applyAlignment="1">
      <alignment horizontal="center" vertical="center" wrapText="1"/>
    </xf>
    <xf numFmtId="0" fontId="17" fillId="0" borderId="14" xfId="17" applyFont="1" applyBorder="1" applyAlignment="1">
      <alignment horizontal="left" vertical="center" wrapText="1"/>
    </xf>
    <xf numFmtId="0" fontId="18" fillId="0" borderId="32" xfId="17" applyFont="1" applyBorder="1" applyAlignment="1">
      <alignment horizontal="left" vertical="center" indent="1"/>
    </xf>
    <xf numFmtId="0" fontId="18" fillId="0" borderId="52" xfId="17" applyFont="1" applyBorder="1" applyAlignment="1">
      <alignment vertical="center"/>
    </xf>
    <xf numFmtId="0" fontId="18" fillId="0" borderId="49" xfId="17" applyFont="1" applyBorder="1" applyAlignment="1">
      <alignment vertical="center"/>
    </xf>
    <xf numFmtId="180" fontId="17" fillId="0" borderId="5" xfId="17" applyNumberFormat="1" applyFont="1" applyBorder="1" applyAlignment="1">
      <alignment horizontal="center" vertical="center" wrapText="1"/>
    </xf>
    <xf numFmtId="0" fontId="17" fillId="0" borderId="13" xfId="17" applyFont="1" applyBorder="1" applyAlignment="1">
      <alignment horizontal="left" vertical="center" wrapText="1"/>
    </xf>
    <xf numFmtId="3" fontId="6" fillId="0" borderId="0" xfId="17" applyNumberFormat="1" applyAlignment="1">
      <alignment vertical="center" wrapText="1"/>
    </xf>
    <xf numFmtId="0" fontId="18" fillId="0" borderId="32" xfId="17" applyFont="1" applyBorder="1" applyAlignment="1">
      <alignment horizontal="center" vertical="center" wrapText="1"/>
    </xf>
    <xf numFmtId="0" fontId="18" fillId="0" borderId="49" xfId="17" applyFont="1" applyBorder="1" applyAlignment="1">
      <alignment horizontal="center" vertical="center" wrapText="1"/>
    </xf>
    <xf numFmtId="0" fontId="17" fillId="0" borderId="42" xfId="17" applyFont="1" applyBorder="1" applyAlignment="1">
      <alignment horizontal="left" vertical="center" indent="1"/>
    </xf>
    <xf numFmtId="0" fontId="17" fillId="0" borderId="18" xfId="17" applyFont="1" applyBorder="1" applyAlignment="1">
      <alignment horizontal="left" vertical="center"/>
    </xf>
    <xf numFmtId="0" fontId="17" fillId="0" borderId="18" xfId="17" applyFont="1" applyBorder="1" applyAlignment="1">
      <alignment vertical="center"/>
    </xf>
    <xf numFmtId="0" fontId="17" fillId="0" borderId="47" xfId="17" applyFont="1" applyBorder="1" applyAlignment="1">
      <alignment horizontal="left" vertical="center" indent="1"/>
    </xf>
    <xf numFmtId="0" fontId="17" fillId="0" borderId="53" xfId="17" applyFont="1" applyBorder="1" applyAlignment="1">
      <alignment vertical="center"/>
    </xf>
    <xf numFmtId="0" fontId="17" fillId="0" borderId="6" xfId="17" applyFont="1" applyBorder="1" applyAlignment="1">
      <alignment vertical="center"/>
    </xf>
    <xf numFmtId="166" fontId="6" fillId="0" borderId="0" xfId="17" applyNumberFormat="1" applyAlignment="1">
      <alignment vertical="center" wrapText="1"/>
    </xf>
    <xf numFmtId="0" fontId="17" fillId="0" borderId="46" xfId="17" applyFont="1" applyBorder="1" applyAlignment="1">
      <alignment horizontal="left" vertical="center" indent="1"/>
    </xf>
    <xf numFmtId="0" fontId="6" fillId="0" borderId="0" xfId="17" applyAlignment="1">
      <alignment horizontal="right" vertical="center" wrapText="1"/>
    </xf>
    <xf numFmtId="171" fontId="0" fillId="0" borderId="0" xfId="7" applyNumberFormat="1" applyFont="1" applyAlignment="1">
      <alignment horizontal="left" vertical="center" wrapText="1" indent="1"/>
    </xf>
    <xf numFmtId="0" fontId="17" fillId="0" borderId="34" xfId="17" applyFont="1" applyBorder="1" applyAlignment="1">
      <alignment horizontal="left" vertical="center" indent="1"/>
    </xf>
    <xf numFmtId="0" fontId="18" fillId="0" borderId="0" xfId="17" applyFont="1" applyAlignment="1">
      <alignment horizontal="left" vertical="center" indent="1"/>
    </xf>
    <xf numFmtId="0" fontId="18" fillId="0" borderId="0" xfId="17" applyFont="1" applyAlignment="1">
      <alignment vertical="center"/>
    </xf>
    <xf numFmtId="166" fontId="18" fillId="0" borderId="0" xfId="1" applyNumberFormat="1" applyFont="1" applyBorder="1" applyAlignment="1">
      <alignment horizontal="left" vertical="center" wrapText="1"/>
    </xf>
    <xf numFmtId="0" fontId="17" fillId="0" borderId="42" xfId="17" applyFont="1" applyBorder="1" applyAlignment="1">
      <alignment horizontal="center" vertical="center"/>
    </xf>
    <xf numFmtId="0" fontId="17" fillId="0" borderId="18" xfId="17" applyFont="1" applyBorder="1" applyAlignment="1">
      <alignment horizontal="center" vertical="center"/>
    </xf>
    <xf numFmtId="39" fontId="17" fillId="0" borderId="41" xfId="3" applyNumberFormat="1" applyFont="1" applyBorder="1" applyAlignment="1">
      <alignment horizontal="center" vertical="center" wrapText="1"/>
    </xf>
    <xf numFmtId="0" fontId="17" fillId="0" borderId="47" xfId="17" applyFont="1" applyBorder="1" applyAlignment="1">
      <alignment horizontal="center" vertical="center" wrapText="1"/>
    </xf>
    <xf numFmtId="0" fontId="17" fillId="0" borderId="53" xfId="17" applyFont="1" applyBorder="1" applyAlignment="1">
      <alignment horizontal="left" vertical="center" wrapText="1"/>
    </xf>
    <xf numFmtId="180" fontId="17" fillId="0" borderId="54" xfId="17" applyNumberFormat="1" applyFont="1" applyBorder="1" applyAlignment="1">
      <alignment horizontal="left" vertical="center" wrapText="1"/>
    </xf>
    <xf numFmtId="0" fontId="6" fillId="0" borderId="11" xfId="0" applyFont="1" applyBorder="1" applyAlignment="1">
      <alignment horizontal="center"/>
    </xf>
    <xf numFmtId="180" fontId="17" fillId="0" borderId="11" xfId="17" applyNumberFormat="1" applyFon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178" fontId="17" fillId="0" borderId="0" xfId="0" applyNumberFormat="1" applyFont="1" applyAlignment="1">
      <alignment vertical="center"/>
    </xf>
    <xf numFmtId="0" fontId="17" fillId="0" borderId="0" xfId="0" applyFont="1" applyAlignment="1">
      <alignment vertical="center"/>
    </xf>
    <xf numFmtId="178" fontId="18" fillId="0" borderId="11" xfId="0" applyNumberFormat="1" applyFont="1" applyBorder="1" applyAlignment="1">
      <alignment horizontal="center" vertical="center" wrapText="1"/>
    </xf>
    <xf numFmtId="165" fontId="0" fillId="3" borderId="11" xfId="0" applyNumberFormat="1" applyFill="1" applyBorder="1" applyAlignment="1">
      <alignment horizontal="right"/>
    </xf>
    <xf numFmtId="178" fontId="0" fillId="3" borderId="11" xfId="0" applyNumberFormat="1" applyFill="1" applyBorder="1" applyAlignment="1">
      <alignment horizontal="right"/>
    </xf>
    <xf numFmtId="165" fontId="0" fillId="0" borderId="11" xfId="0" applyNumberFormat="1" applyBorder="1" applyAlignment="1">
      <alignment horizontal="right"/>
    </xf>
    <xf numFmtId="165" fontId="0" fillId="0" borderId="56" xfId="0" applyNumberFormat="1" applyBorder="1"/>
    <xf numFmtId="0" fontId="7" fillId="5" borderId="12" xfId="0" applyFont="1" applyFill="1" applyBorder="1" applyAlignment="1">
      <alignment horizontal="right" vertical="center" indent="1"/>
    </xf>
    <xf numFmtId="0" fontId="0" fillId="5" borderId="18" xfId="0" applyFill="1" applyBorder="1" applyAlignment="1">
      <alignment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57" xfId="0" applyFont="1" applyBorder="1" applyAlignment="1">
      <alignment horizontal="left" indent="1"/>
    </xf>
    <xf numFmtId="0" fontId="0" fillId="0" borderId="58" xfId="0" applyBorder="1"/>
    <xf numFmtId="165" fontId="6" fillId="0" borderId="59" xfId="0" applyNumberFormat="1" applyFont="1" applyBorder="1" applyAlignment="1" applyProtection="1">
      <alignment horizontal="center"/>
      <protection locked="0"/>
    </xf>
    <xf numFmtId="165" fontId="0" fillId="0" borderId="59" xfId="0" applyNumberFormat="1" applyBorder="1"/>
    <xf numFmtId="0" fontId="6" fillId="0" borderId="58" xfId="0" applyFont="1" applyBorder="1" applyAlignment="1">
      <alignment horizontal="left" indent="1"/>
    </xf>
    <xf numFmtId="0" fontId="6" fillId="0" borderId="60" xfId="0" applyFont="1" applyBorder="1" applyAlignment="1">
      <alignment horizontal="left"/>
    </xf>
    <xf numFmtId="0" fontId="6" fillId="0" borderId="58" xfId="0" applyFont="1" applyBorder="1" applyAlignment="1">
      <alignment horizontal="left"/>
    </xf>
    <xf numFmtId="0" fontId="6" fillId="0" borderId="61" xfId="0" applyFont="1" applyBorder="1" applyAlignment="1">
      <alignment horizontal="left" indent="1"/>
    </xf>
    <xf numFmtId="0" fontId="0" fillId="0" borderId="62" xfId="0" applyBorder="1"/>
    <xf numFmtId="178" fontId="6" fillId="0" borderId="56" xfId="0" applyNumberFormat="1" applyFont="1" applyBorder="1" applyAlignment="1" applyProtection="1">
      <alignment horizontal="center"/>
      <protection locked="0"/>
    </xf>
    <xf numFmtId="178" fontId="0" fillId="3" borderId="56" xfId="0" applyNumberFormat="1" applyFill="1" applyBorder="1"/>
    <xf numFmtId="0" fontId="0" fillId="0" borderId="62" xfId="0" applyBorder="1" applyAlignment="1">
      <alignment horizontal="left" indent="1"/>
    </xf>
    <xf numFmtId="0" fontId="0" fillId="0" borderId="61" xfId="0" applyBorder="1" applyAlignment="1">
      <alignment horizontal="left" indent="1"/>
    </xf>
    <xf numFmtId="0" fontId="0" fillId="0" borderId="63" xfId="0" applyBorder="1" applyAlignment="1">
      <alignment horizontal="left"/>
    </xf>
    <xf numFmtId="0" fontId="0" fillId="0" borderId="62" xfId="0" applyBorder="1" applyAlignment="1">
      <alignment horizontal="left"/>
    </xf>
    <xf numFmtId="165" fontId="6" fillId="0" borderId="56" xfId="0" applyNumberFormat="1" applyFont="1" applyBorder="1" applyAlignment="1" applyProtection="1">
      <alignment horizontal="center"/>
      <protection locked="0"/>
    </xf>
    <xf numFmtId="0" fontId="6" fillId="0" borderId="62" xfId="0" applyFont="1" applyBorder="1" applyAlignment="1">
      <alignment horizontal="left" indent="1"/>
    </xf>
    <xf numFmtId="0" fontId="6" fillId="0" borderId="63" xfId="0" applyFont="1" applyBorder="1" applyAlignment="1">
      <alignment horizontal="left"/>
    </xf>
    <xf numFmtId="0" fontId="6" fillId="0" borderId="62" xfId="0" applyFont="1" applyBorder="1" applyAlignment="1">
      <alignment horizontal="left"/>
    </xf>
    <xf numFmtId="0" fontId="6" fillId="0" borderId="64" xfId="0" applyFont="1" applyBorder="1" applyAlignment="1">
      <alignment horizontal="left" indent="1"/>
    </xf>
    <xf numFmtId="0" fontId="0" fillId="0" borderId="65" xfId="0" applyBorder="1"/>
    <xf numFmtId="178" fontId="6" fillId="0" borderId="66" xfId="0" applyNumberFormat="1" applyFont="1" applyBorder="1" applyAlignment="1" applyProtection="1">
      <alignment horizontal="center"/>
      <protection locked="0"/>
    </xf>
    <xf numFmtId="0" fontId="6" fillId="0" borderId="65" xfId="0" applyFont="1" applyBorder="1" applyAlignment="1">
      <alignment horizontal="left" indent="1"/>
    </xf>
    <xf numFmtId="0" fontId="6" fillId="0" borderId="67" xfId="0" applyFont="1" applyBorder="1" applyAlignment="1">
      <alignment horizontal="left"/>
    </xf>
    <xf numFmtId="0" fontId="6" fillId="0" borderId="65" xfId="0" applyFont="1" applyBorder="1" applyAlignment="1">
      <alignment horizontal="left"/>
    </xf>
    <xf numFmtId="165" fontId="0" fillId="0" borderId="56" xfId="0" applyNumberFormat="1" applyBorder="1" applyAlignment="1" applyProtection="1">
      <alignment horizontal="center"/>
      <protection locked="0"/>
    </xf>
    <xf numFmtId="165" fontId="0" fillId="0" borderId="66" xfId="0" applyNumberFormat="1" applyBorder="1" applyAlignment="1" applyProtection="1">
      <alignment horizontal="center"/>
      <protection locked="0"/>
    </xf>
    <xf numFmtId="165" fontId="0" fillId="0" borderId="66" xfId="0" applyNumberFormat="1" applyBorder="1"/>
    <xf numFmtId="0" fontId="0" fillId="0" borderId="65" xfId="0" applyBorder="1" applyAlignment="1">
      <alignment horizontal="left" indent="1"/>
    </xf>
    <xf numFmtId="0" fontId="0" fillId="0" borderId="68" xfId="0" applyBorder="1" applyAlignment="1">
      <alignment horizontal="left" indent="1"/>
    </xf>
    <xf numFmtId="0" fontId="0" fillId="0" borderId="69" xfId="0" applyBorder="1" applyAlignment="1">
      <alignment horizontal="left"/>
    </xf>
    <xf numFmtId="0" fontId="0" fillId="0" borderId="70" xfId="0" applyBorder="1" applyAlignment="1">
      <alignment horizontal="left"/>
    </xf>
    <xf numFmtId="178" fontId="17" fillId="6" borderId="1" xfId="3" applyNumberFormat="1" applyFont="1" applyFill="1" applyBorder="1" applyAlignment="1">
      <alignment wrapText="1"/>
    </xf>
    <xf numFmtId="178" fontId="17" fillId="6" borderId="1" xfId="0" applyNumberFormat="1" applyFont="1" applyFill="1" applyBorder="1"/>
    <xf numFmtId="178" fontId="17" fillId="0" borderId="0" xfId="0" applyNumberFormat="1" applyFont="1"/>
    <xf numFmtId="0" fontId="6" fillId="0" borderId="4" xfId="17" applyBorder="1"/>
    <xf numFmtId="0" fontId="7" fillId="0" borderId="11" xfId="17" applyFont="1" applyBorder="1" applyAlignment="1">
      <alignment horizontal="center" wrapText="1"/>
    </xf>
    <xf numFmtId="0" fontId="7" fillId="0" borderId="0" xfId="17" applyFont="1"/>
    <xf numFmtId="178" fontId="17" fillId="6" borderId="17" xfId="3" applyNumberFormat="1" applyFont="1" applyFill="1" applyBorder="1" applyAlignment="1">
      <alignment wrapText="1"/>
    </xf>
    <xf numFmtId="178" fontId="17" fillId="0" borderId="1" xfId="0" applyNumberFormat="1" applyFont="1" applyBorder="1"/>
    <xf numFmtId="167" fontId="6" fillId="0" borderId="1" xfId="17" applyNumberFormat="1" applyBorder="1" applyAlignment="1">
      <alignment vertical="center" wrapText="1"/>
    </xf>
    <xf numFmtId="178" fontId="17" fillId="6" borderId="1" xfId="1" applyNumberFormat="1" applyFont="1" applyFill="1" applyBorder="1" applyAlignment="1">
      <alignment wrapText="1"/>
    </xf>
    <xf numFmtId="181" fontId="17" fillId="0" borderId="37" xfId="3" applyNumberFormat="1" applyFont="1" applyBorder="1" applyAlignment="1">
      <alignment horizontal="right" vertical="center" wrapText="1"/>
    </xf>
    <xf numFmtId="169" fontId="6" fillId="0" borderId="1" xfId="17" applyNumberFormat="1" applyBorder="1" applyAlignment="1">
      <alignment horizontal="center" vertical="center" wrapText="1"/>
    </xf>
    <xf numFmtId="181" fontId="6" fillId="0" borderId="0" xfId="17" applyNumberFormat="1" applyAlignment="1">
      <alignment vertical="center" wrapText="1"/>
    </xf>
    <xf numFmtId="178" fontId="6" fillId="0" borderId="0" xfId="17" applyNumberFormat="1" applyAlignment="1">
      <alignment vertical="center" wrapText="1"/>
    </xf>
    <xf numFmtId="170" fontId="6" fillId="0" borderId="11" xfId="3" applyNumberFormat="1" applyFont="1" applyBorder="1" applyAlignment="1">
      <alignment horizontal="right" vertical="center" wrapText="1"/>
    </xf>
    <xf numFmtId="44" fontId="18" fillId="0" borderId="71" xfId="3" applyNumberFormat="1" applyFont="1" applyBorder="1" applyAlignment="1" applyProtection="1">
      <alignment horizontal="center" vertical="center" wrapText="1"/>
      <protection locked="0"/>
    </xf>
    <xf numFmtId="170" fontId="6" fillId="0" borderId="41" xfId="3" applyNumberFormat="1" applyFont="1" applyBorder="1" applyAlignment="1">
      <alignment horizontal="right" vertical="center" wrapText="1"/>
    </xf>
    <xf numFmtId="170" fontId="6" fillId="0" borderId="48" xfId="3" applyNumberFormat="1" applyFont="1" applyBorder="1" applyAlignment="1">
      <alignment horizontal="right" vertical="center" wrapText="1"/>
    </xf>
    <xf numFmtId="170" fontId="6" fillId="0" borderId="30" xfId="3" applyNumberFormat="1" applyFont="1" applyBorder="1" applyAlignment="1">
      <alignment horizontal="right" vertical="center" wrapText="1"/>
    </xf>
    <xf numFmtId="0" fontId="17" fillId="0" borderId="37" xfId="17" applyFont="1" applyBorder="1" applyAlignment="1">
      <alignment horizontal="center" vertical="center" wrapText="1"/>
    </xf>
    <xf numFmtId="0" fontId="17" fillId="0" borderId="16" xfId="17" applyFont="1" applyBorder="1" applyAlignment="1">
      <alignment horizontal="left" vertical="center" wrapText="1"/>
    </xf>
    <xf numFmtId="171" fontId="17" fillId="0" borderId="23" xfId="3" applyNumberFormat="1" applyFont="1" applyBorder="1" applyAlignment="1">
      <alignment horizontal="center" vertical="center" wrapText="1"/>
    </xf>
    <xf numFmtId="0" fontId="17" fillId="0" borderId="73" xfId="17" applyFont="1" applyBorder="1" applyAlignment="1">
      <alignment horizontal="center" vertical="center" wrapText="1"/>
    </xf>
    <xf numFmtId="0" fontId="17" fillId="0" borderId="73" xfId="17" applyFont="1" applyBorder="1" applyAlignment="1">
      <alignment horizontal="left" vertical="center" wrapText="1"/>
    </xf>
    <xf numFmtId="178" fontId="17" fillId="0" borderId="74" xfId="3" applyNumberFormat="1" applyFont="1" applyBorder="1" applyAlignment="1">
      <alignment horizontal="right" vertical="center" wrapText="1"/>
    </xf>
    <xf numFmtId="0" fontId="6" fillId="0" borderId="33" xfId="17" applyBorder="1" applyAlignment="1">
      <alignment vertical="center" wrapText="1"/>
    </xf>
    <xf numFmtId="171" fontId="17" fillId="3" borderId="31" xfId="3" applyNumberFormat="1" applyFont="1" applyFill="1" applyBorder="1" applyAlignment="1">
      <alignment horizontal="center" vertical="center" wrapText="1"/>
    </xf>
    <xf numFmtId="178" fontId="17" fillId="0" borderId="75" xfId="3" applyNumberFormat="1" applyFont="1" applyBorder="1" applyAlignment="1">
      <alignment horizontal="right" vertical="center" wrapText="1"/>
    </xf>
    <xf numFmtId="177" fontId="17" fillId="0" borderId="27" xfId="3" applyNumberFormat="1" applyFont="1" applyBorder="1" applyAlignment="1">
      <alignment horizontal="right" vertical="center" wrapText="1"/>
    </xf>
    <xf numFmtId="178" fontId="17" fillId="0" borderId="76" xfId="3" applyNumberFormat="1" applyFont="1" applyBorder="1" applyAlignment="1">
      <alignment horizontal="right" vertical="center" wrapText="1"/>
    </xf>
    <xf numFmtId="178" fontId="17" fillId="0" borderId="72" xfId="3" applyNumberFormat="1" applyFont="1" applyBorder="1" applyAlignment="1">
      <alignment horizontal="right" vertical="center" wrapText="1"/>
    </xf>
    <xf numFmtId="0" fontId="17" fillId="0" borderId="1" xfId="12" applyFont="1" applyBorder="1" applyAlignment="1">
      <alignment horizontal="left" vertical="top" wrapText="1"/>
    </xf>
    <xf numFmtId="0" fontId="17" fillId="0" borderId="1" xfId="12" applyFont="1" applyBorder="1" applyAlignment="1">
      <alignment horizontal="center" wrapText="1"/>
    </xf>
    <xf numFmtId="49" fontId="17" fillId="0" borderId="1" xfId="12" applyNumberFormat="1" applyFont="1" applyBorder="1" applyAlignment="1">
      <alignment horizontal="left" vertical="top" wrapText="1"/>
    </xf>
    <xf numFmtId="176" fontId="6" fillId="0" borderId="1" xfId="1" applyNumberFormat="1" applyFont="1" applyBorder="1" applyAlignment="1">
      <alignment horizontal="center" vertical="center" wrapText="1"/>
    </xf>
    <xf numFmtId="183" fontId="17" fillId="0" borderId="1" xfId="2" applyNumberFormat="1" applyFont="1" applyFill="1" applyBorder="1" applyAlignment="1" applyProtection="1">
      <alignment horizontal="center"/>
    </xf>
    <xf numFmtId="0" fontId="18" fillId="0" borderId="7" xfId="0" applyFont="1" applyBorder="1" applyAlignment="1">
      <alignment horizontal="center" vertical="center"/>
    </xf>
    <xf numFmtId="0" fontId="18" fillId="0" borderId="17" xfId="17" applyFont="1" applyBorder="1" applyAlignment="1">
      <alignment horizontal="left" vertical="center" wrapText="1"/>
    </xf>
    <xf numFmtId="49" fontId="17" fillId="0" borderId="1" xfId="17" applyNumberFormat="1" applyFont="1" applyBorder="1" applyAlignment="1">
      <alignment horizontal="left" vertical="center" wrapText="1"/>
    </xf>
    <xf numFmtId="0" fontId="17" fillId="0" borderId="1" xfId="17" applyFont="1" applyBorder="1" applyAlignment="1">
      <alignment horizontal="left" vertical="center"/>
    </xf>
    <xf numFmtId="49" fontId="17" fillId="0" borderId="1" xfId="17" applyNumberFormat="1" applyFont="1" applyBorder="1" applyAlignment="1">
      <alignment horizontal="center" vertical="center" wrapText="1"/>
    </xf>
    <xf numFmtId="49" fontId="18" fillId="0" borderId="1" xfId="17" applyNumberFormat="1" applyFont="1" applyBorder="1" applyAlignment="1">
      <alignment horizontal="center" vertical="center" wrapText="1"/>
    </xf>
    <xf numFmtId="0" fontId="17" fillId="0" borderId="17" xfId="17" applyFont="1" applyBorder="1" applyAlignment="1">
      <alignment horizontal="left" vertical="center"/>
    </xf>
    <xf numFmtId="0" fontId="18" fillId="0" borderId="1" xfId="0" applyFont="1" applyBorder="1" applyAlignment="1">
      <alignment vertical="top" wrapText="1"/>
    </xf>
    <xf numFmtId="0" fontId="17" fillId="0" borderId="1" xfId="0" applyFont="1" applyBorder="1" applyAlignment="1">
      <alignment horizontal="center" vertical="top"/>
    </xf>
    <xf numFmtId="170" fontId="6" fillId="0" borderId="1" xfId="3" applyNumberFormat="1" applyFont="1" applyFill="1" applyBorder="1" applyAlignment="1">
      <alignment horizontal="right" vertical="center" wrapText="1"/>
    </xf>
    <xf numFmtId="169" fontId="6" fillId="0" borderId="0" xfId="17" applyNumberFormat="1" applyAlignment="1">
      <alignment horizontal="right"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49" fontId="17" fillId="0" borderId="23" xfId="17" applyNumberFormat="1" applyFont="1" applyBorder="1" applyAlignment="1">
      <alignment horizontal="left" vertical="center" wrapText="1"/>
    </xf>
    <xf numFmtId="3" fontId="17" fillId="0" borderId="1" xfId="17" applyNumberFormat="1" applyFont="1" applyBorder="1" applyAlignment="1">
      <alignment horizontal="center" wrapText="1"/>
    </xf>
    <xf numFmtId="178" fontId="17" fillId="0" borderId="0" xfId="17" applyNumberFormat="1" applyFont="1" applyAlignment="1">
      <alignment vertical="center"/>
    </xf>
    <xf numFmtId="0" fontId="6" fillId="0" borderId="17" xfId="17" applyBorder="1" applyAlignment="1">
      <alignment horizontal="left" vertical="center"/>
    </xf>
    <xf numFmtId="176" fontId="6" fillId="0" borderId="1" xfId="1" applyNumberFormat="1" applyFont="1" applyBorder="1" applyAlignment="1">
      <alignment horizontal="center" wrapText="1"/>
    </xf>
    <xf numFmtId="49" fontId="14" fillId="0" borderId="1" xfId="17" applyNumberFormat="1" applyFont="1" applyBorder="1" applyAlignment="1">
      <alignment horizontal="right" vertical="center" wrapText="1"/>
    </xf>
    <xf numFmtId="0" fontId="14" fillId="0" borderId="1" xfId="17" applyFont="1" applyBorder="1" applyAlignment="1">
      <alignment horizontal="left" vertical="center" wrapText="1"/>
    </xf>
    <xf numFmtId="0" fontId="14" fillId="0" borderId="1" xfId="17" applyFont="1" applyBorder="1" applyAlignment="1">
      <alignment horizontal="center" vertical="center" wrapText="1"/>
    </xf>
    <xf numFmtId="3" fontId="14" fillId="0" borderId="1" xfId="1" applyNumberFormat="1" applyFont="1" applyBorder="1" applyAlignment="1">
      <alignment horizontal="center" vertical="center" wrapText="1"/>
    </xf>
    <xf numFmtId="0" fontId="14" fillId="0" borderId="1" xfId="17" applyFont="1" applyBorder="1" applyAlignment="1">
      <alignment wrapText="1"/>
    </xf>
    <xf numFmtId="0" fontId="14" fillId="0" borderId="1" xfId="0" applyFont="1" applyBorder="1" applyAlignment="1" applyProtection="1">
      <alignment horizontal="left" vertical="top" wrapText="1" indent="1"/>
      <protection locked="0"/>
    </xf>
    <xf numFmtId="0" fontId="14" fillId="0" borderId="1" xfId="0" applyFont="1" applyBorder="1" applyAlignment="1" applyProtection="1">
      <alignment horizontal="center"/>
      <protection locked="0"/>
    </xf>
    <xf numFmtId="3" fontId="14" fillId="0" borderId="1" xfId="1" applyNumberFormat="1" applyFont="1" applyBorder="1" applyAlignment="1">
      <alignment horizontal="center" wrapText="1"/>
    </xf>
    <xf numFmtId="49" fontId="14" fillId="0" borderId="1" xfId="17" applyNumberFormat="1" applyFont="1" applyBorder="1" applyAlignment="1">
      <alignment horizontal="right" vertical="top" wrapText="1"/>
    </xf>
    <xf numFmtId="0" fontId="14" fillId="0" borderId="1" xfId="17" applyFont="1" applyBorder="1" applyAlignment="1">
      <alignment horizontal="center" wrapText="1"/>
    </xf>
    <xf numFmtId="49" fontId="14" fillId="0" borderId="1" xfId="17" applyNumberFormat="1" applyFont="1" applyBorder="1" applyAlignment="1">
      <alignment horizontal="right" wrapText="1"/>
    </xf>
    <xf numFmtId="170" fontId="14" fillId="0" borderId="1" xfId="3" applyNumberFormat="1" applyFont="1" applyBorder="1" applyAlignment="1">
      <alignment horizontal="right" vertical="center" wrapText="1"/>
    </xf>
    <xf numFmtId="170" fontId="14" fillId="0" borderId="0" xfId="3" applyNumberFormat="1" applyFont="1" applyBorder="1" applyAlignment="1">
      <alignment horizontal="right" wrapText="1"/>
    </xf>
    <xf numFmtId="0" fontId="14" fillId="0" borderId="0" xfId="17" applyFont="1" applyAlignment="1">
      <alignment vertical="center"/>
    </xf>
    <xf numFmtId="0" fontId="14" fillId="0" borderId="1" xfId="17" applyFont="1" applyBorder="1" applyAlignment="1">
      <alignment vertical="center" wrapText="1"/>
    </xf>
    <xf numFmtId="49" fontId="14" fillId="0" borderId="1" xfId="17" applyNumberFormat="1" applyFont="1" applyBorder="1" applyAlignment="1">
      <alignment horizontal="left" vertical="top" wrapText="1"/>
    </xf>
    <xf numFmtId="0" fontId="14" fillId="0" borderId="1" xfId="17" applyFont="1" applyBorder="1" applyAlignment="1">
      <alignment vertical="center"/>
    </xf>
    <xf numFmtId="170" fontId="14" fillId="0" borderId="0" xfId="1" applyNumberFormat="1" applyFont="1" applyBorder="1" applyAlignment="1">
      <alignment horizontal="right" wrapText="1"/>
    </xf>
    <xf numFmtId="170" fontId="14" fillId="0" borderId="0" xfId="3" applyNumberFormat="1" applyFont="1" applyBorder="1" applyAlignment="1">
      <alignment wrapText="1"/>
    </xf>
    <xf numFmtId="0" fontId="14" fillId="0" borderId="17" xfId="17" applyFont="1" applyBorder="1" applyAlignment="1">
      <alignment horizontal="left" vertical="center" wrapText="1"/>
    </xf>
    <xf numFmtId="0" fontId="14" fillId="0" borderId="0" xfId="17" applyFont="1" applyAlignment="1">
      <alignment horizontal="right"/>
    </xf>
    <xf numFmtId="0" fontId="14" fillId="0" borderId="3" xfId="17" applyFont="1" applyBorder="1" applyAlignment="1">
      <alignment horizontal="left" vertical="center"/>
    </xf>
    <xf numFmtId="0" fontId="14" fillId="0" borderId="1" xfId="17" applyFont="1" applyBorder="1" applyAlignment="1">
      <alignment horizontal="center"/>
    </xf>
    <xf numFmtId="0" fontId="6" fillId="0" borderId="28" xfId="17" applyBorder="1" applyAlignment="1">
      <alignment horizontal="center" vertical="center" wrapText="1"/>
    </xf>
    <xf numFmtId="0" fontId="6" fillId="0" borderId="55" xfId="17" applyBorder="1" applyAlignment="1">
      <alignment vertical="center" wrapText="1"/>
    </xf>
    <xf numFmtId="0" fontId="6" fillId="0" borderId="40" xfId="17" applyBorder="1" applyAlignment="1">
      <alignment horizontal="center" vertical="center" wrapText="1"/>
    </xf>
    <xf numFmtId="0" fontId="6" fillId="0" borderId="11" xfId="17" applyBorder="1" applyAlignment="1">
      <alignment vertical="center" wrapText="1"/>
    </xf>
    <xf numFmtId="175" fontId="6" fillId="3" borderId="11" xfId="0" applyNumberFormat="1" applyFont="1" applyFill="1" applyBorder="1" applyAlignment="1">
      <alignment horizontal="center"/>
    </xf>
    <xf numFmtId="49" fontId="6" fillId="0" borderId="1" xfId="0" applyNumberFormat="1" applyFont="1" applyBorder="1" applyAlignment="1">
      <alignment horizontal="left" vertical="top" wrapText="1"/>
    </xf>
    <xf numFmtId="49" fontId="6" fillId="0" borderId="17" xfId="0" applyNumberFormat="1" applyFont="1" applyBorder="1" applyAlignment="1">
      <alignment horizontal="left" vertical="top" wrapText="1"/>
    </xf>
    <xf numFmtId="0" fontId="6" fillId="7" borderId="1" xfId="0" applyFont="1" applyFill="1" applyBorder="1" applyAlignment="1">
      <alignment vertical="top" wrapText="1"/>
    </xf>
    <xf numFmtId="0" fontId="6" fillId="7" borderId="17" xfId="0" applyFont="1" applyFill="1" applyBorder="1" applyAlignment="1">
      <alignment vertical="top" wrapText="1"/>
    </xf>
    <xf numFmtId="49" fontId="6" fillId="0" borderId="17" xfId="0" applyNumberFormat="1" applyFont="1" applyBorder="1" applyAlignment="1">
      <alignment horizontal="center" wrapText="1"/>
    </xf>
    <xf numFmtId="176" fontId="6" fillId="0" borderId="17" xfId="0" applyNumberFormat="1" applyFont="1" applyBorder="1" applyAlignment="1">
      <alignment horizontal="center" wrapText="1"/>
    </xf>
    <xf numFmtId="4" fontId="6" fillId="0" borderId="17" xfId="0" applyNumberFormat="1" applyFont="1" applyBorder="1" applyAlignment="1">
      <alignment horizontal="right" wrapText="1"/>
    </xf>
    <xf numFmtId="0" fontId="6" fillId="7" borderId="17" xfId="0" applyFont="1" applyFill="1" applyBorder="1" applyAlignment="1">
      <alignment wrapText="1"/>
    </xf>
    <xf numFmtId="0" fontId="0" fillId="3" borderId="29" xfId="0" applyFill="1" applyBorder="1" applyAlignment="1">
      <alignment horizontal="right"/>
    </xf>
    <xf numFmtId="0" fontId="7" fillId="0" borderId="1" xfId="17" applyFont="1" applyBorder="1" applyAlignment="1">
      <alignment horizontal="center" vertical="center" wrapText="1"/>
    </xf>
    <xf numFmtId="3" fontId="7" fillId="0" borderId="1" xfId="1" applyNumberFormat="1" applyFont="1" applyBorder="1" applyAlignment="1">
      <alignment horizontal="center" vertical="center" wrapText="1"/>
    </xf>
    <xf numFmtId="0" fontId="7" fillId="0" borderId="1" xfId="17" applyFont="1" applyBorder="1" applyAlignment="1">
      <alignment wrapText="1"/>
    </xf>
    <xf numFmtId="170" fontId="7" fillId="0" borderId="1" xfId="3" applyNumberFormat="1" applyFont="1" applyBorder="1" applyAlignment="1">
      <alignment horizontal="right" vertical="center" wrapText="1"/>
    </xf>
    <xf numFmtId="170" fontId="7" fillId="0" borderId="0" xfId="3" applyNumberFormat="1" applyFont="1" applyBorder="1" applyAlignment="1">
      <alignment horizontal="right" vertical="center" wrapText="1"/>
    </xf>
    <xf numFmtId="171" fontId="7" fillId="0" borderId="1" xfId="7" applyNumberFormat="1" applyFont="1" applyBorder="1" applyAlignment="1">
      <alignment vertical="center" wrapText="1"/>
    </xf>
    <xf numFmtId="0" fontId="7" fillId="0" borderId="0" xfId="0" applyFont="1" applyAlignment="1">
      <alignment wrapText="1"/>
    </xf>
    <xf numFmtId="169" fontId="7" fillId="0" borderId="1" xfId="17" applyNumberFormat="1" applyFont="1" applyBorder="1" applyAlignment="1">
      <alignment horizontal="center" vertical="center" wrapText="1"/>
    </xf>
    <xf numFmtId="169" fontId="7" fillId="0" borderId="1" xfId="1" applyFont="1" applyBorder="1" applyAlignment="1">
      <alignment vertical="center" wrapText="1"/>
    </xf>
    <xf numFmtId="0" fontId="7" fillId="0" borderId="0" xfId="0" applyFont="1" applyAlignment="1">
      <alignment horizontal="right"/>
    </xf>
    <xf numFmtId="0" fontId="6" fillId="0" borderId="0" xfId="0" applyFont="1" applyAlignment="1">
      <alignment horizontal="right"/>
    </xf>
    <xf numFmtId="49" fontId="6" fillId="0" borderId="17" xfId="0" applyNumberFormat="1" applyFont="1" applyBorder="1" applyAlignment="1">
      <alignment vertical="top" wrapText="1"/>
    </xf>
    <xf numFmtId="0" fontId="6" fillId="0" borderId="1" xfId="12" applyBorder="1" applyAlignment="1">
      <alignment horizontal="left" vertical="top" wrapText="1"/>
    </xf>
    <xf numFmtId="0" fontId="6" fillId="0" borderId="1" xfId="12" applyBorder="1" applyAlignment="1">
      <alignment horizontal="center" wrapText="1"/>
    </xf>
    <xf numFmtId="182" fontId="6" fillId="0" borderId="1" xfId="12" applyNumberFormat="1" applyBorder="1" applyAlignment="1" applyProtection="1">
      <alignment horizontal="right" vertical="top" wrapText="1"/>
      <protection locked="0"/>
    </xf>
    <xf numFmtId="49" fontId="6" fillId="0" borderId="1" xfId="12" applyNumberFormat="1" applyBorder="1" applyAlignment="1">
      <alignment horizontal="right" vertical="top" wrapText="1"/>
    </xf>
    <xf numFmtId="0" fontId="18" fillId="0" borderId="1" xfId="12" applyFont="1" applyBorder="1" applyAlignment="1">
      <alignment horizontal="left" vertical="top" wrapText="1"/>
    </xf>
    <xf numFmtId="0" fontId="18" fillId="0" borderId="1" xfId="12" applyFont="1" applyBorder="1" applyAlignment="1">
      <alignment horizontal="center" wrapText="1"/>
    </xf>
    <xf numFmtId="0" fontId="7" fillId="0" borderId="1" xfId="17" applyFont="1" applyBorder="1" applyAlignment="1">
      <alignment vertical="center" wrapText="1"/>
    </xf>
    <xf numFmtId="0" fontId="7" fillId="0" borderId="1" xfId="17" applyFont="1" applyBorder="1" applyAlignment="1">
      <alignment vertical="center"/>
    </xf>
    <xf numFmtId="49" fontId="7" fillId="0" borderId="1" xfId="17" applyNumberFormat="1" applyFont="1" applyBorder="1" applyAlignment="1">
      <alignment horizontal="right" vertical="top" wrapText="1"/>
    </xf>
    <xf numFmtId="0" fontId="7" fillId="0" borderId="1" xfId="17" applyFont="1" applyBorder="1" applyAlignment="1">
      <alignment horizontal="center" wrapText="1"/>
    </xf>
    <xf numFmtId="3" fontId="7" fillId="0" borderId="1" xfId="1" applyNumberFormat="1" applyFont="1" applyBorder="1" applyAlignment="1">
      <alignment horizontal="center" wrapText="1"/>
    </xf>
    <xf numFmtId="170" fontId="7" fillId="0" borderId="0" xfId="3" applyNumberFormat="1" applyFont="1" applyBorder="1" applyAlignment="1">
      <alignment horizontal="right" wrapText="1"/>
    </xf>
    <xf numFmtId="169" fontId="7" fillId="0" borderId="1" xfId="1" applyFont="1" applyBorder="1" applyAlignment="1">
      <alignment horizontal="center" wrapText="1"/>
    </xf>
    <xf numFmtId="0" fontId="7" fillId="0" borderId="1" xfId="17" applyFont="1" applyBorder="1"/>
    <xf numFmtId="169" fontId="7" fillId="0" borderId="1" xfId="1" applyFont="1" applyBorder="1" applyAlignment="1">
      <alignment horizontal="center" vertical="center" wrapText="1"/>
    </xf>
    <xf numFmtId="0" fontId="7" fillId="0" borderId="3" xfId="17" applyFont="1" applyBorder="1" applyAlignment="1">
      <alignment horizontal="left" vertical="center" wrapText="1"/>
    </xf>
    <xf numFmtId="0" fontId="7" fillId="0" borderId="1" xfId="17" applyFont="1" applyBorder="1" applyAlignment="1">
      <alignment horizontal="center"/>
    </xf>
    <xf numFmtId="178" fontId="18" fillId="6" borderId="1" xfId="0" applyNumberFormat="1" applyFont="1" applyFill="1" applyBorder="1"/>
    <xf numFmtId="0" fontId="7" fillId="0" borderId="1" xfId="17" applyFont="1" applyBorder="1" applyAlignment="1">
      <alignment horizontal="left" vertical="top" wrapText="1"/>
    </xf>
    <xf numFmtId="170" fontId="7" fillId="0" borderId="0" xfId="1" applyNumberFormat="1" applyFont="1" applyBorder="1" applyAlignment="1">
      <alignment horizontal="right" wrapText="1"/>
    </xf>
    <xf numFmtId="0" fontId="6" fillId="0" borderId="1" xfId="12" applyBorder="1" applyAlignment="1">
      <alignment wrapText="1"/>
    </xf>
    <xf numFmtId="49" fontId="7" fillId="0" borderId="0" xfId="17" applyNumberFormat="1" applyFont="1" applyAlignment="1">
      <alignment horizontal="right" vertical="center"/>
    </xf>
    <xf numFmtId="49" fontId="7" fillId="0" borderId="0" xfId="17" applyNumberFormat="1" applyFont="1" applyAlignment="1">
      <alignment vertical="center"/>
    </xf>
    <xf numFmtId="0" fontId="6" fillId="0" borderId="1" xfId="0" applyFont="1" applyBorder="1"/>
    <xf numFmtId="0" fontId="7" fillId="0" borderId="1" xfId="0" applyFont="1" applyBorder="1"/>
    <xf numFmtId="49" fontId="7" fillId="0" borderId="14" xfId="17" applyNumberFormat="1" applyFont="1" applyBorder="1" applyAlignment="1">
      <alignment horizontal="right" vertical="center"/>
    </xf>
    <xf numFmtId="0" fontId="6" fillId="0" borderId="1" xfId="17" applyBorder="1" applyAlignment="1">
      <alignment horizontal="center" vertical="top"/>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49" fontId="7" fillId="0" borderId="1" xfId="17" applyNumberFormat="1" applyFont="1" applyBorder="1" applyAlignment="1">
      <alignment vertical="center"/>
    </xf>
    <xf numFmtId="49" fontId="7" fillId="0" borderId="14" xfId="17" applyNumberFormat="1" applyFont="1" applyBorder="1" applyAlignment="1">
      <alignment vertical="center"/>
    </xf>
    <xf numFmtId="170" fontId="6" fillId="0" borderId="17" xfId="3" applyNumberFormat="1" applyFont="1" applyBorder="1" applyAlignment="1">
      <alignment horizontal="right" vertical="center" wrapText="1"/>
    </xf>
    <xf numFmtId="49" fontId="7" fillId="0" borderId="15" xfId="17" applyNumberFormat="1" applyFont="1" applyBorder="1" applyAlignment="1">
      <alignment vertical="center"/>
    </xf>
    <xf numFmtId="170" fontId="6" fillId="0" borderId="7" xfId="3" applyNumberFormat="1" applyFont="1" applyBorder="1" applyAlignment="1">
      <alignment horizontal="right" vertical="center" wrapText="1"/>
    </xf>
    <xf numFmtId="0" fontId="7" fillId="0" borderId="4" xfId="17" applyFont="1" applyBorder="1" applyAlignment="1">
      <alignment vertical="center"/>
    </xf>
    <xf numFmtId="49" fontId="7" fillId="0" borderId="4" xfId="17" applyNumberFormat="1" applyFont="1" applyBorder="1" applyAlignment="1">
      <alignment horizontal="center" vertical="center"/>
    </xf>
    <xf numFmtId="170" fontId="6" fillId="0" borderId="16" xfId="3" applyNumberFormat="1" applyFont="1" applyBorder="1" applyAlignment="1">
      <alignment horizontal="right" vertical="center" wrapText="1"/>
    </xf>
    <xf numFmtId="0" fontId="7" fillId="0" borderId="77"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9" xfId="0" applyFont="1" applyBorder="1" applyAlignment="1">
      <alignment horizontal="center" vertical="center" wrapText="1"/>
    </xf>
    <xf numFmtId="49" fontId="7" fillId="0" borderId="15" xfId="17" applyNumberFormat="1" applyFont="1" applyBorder="1" applyAlignment="1">
      <alignment horizontal="center" vertical="center"/>
    </xf>
    <xf numFmtId="0" fontId="6" fillId="0" borderId="78" xfId="0" applyFont="1" applyBorder="1" applyAlignment="1">
      <alignment horizontal="center" vertical="center" wrapText="1"/>
    </xf>
    <xf numFmtId="170" fontId="6" fillId="0" borderId="15" xfId="3" applyNumberFormat="1" applyFont="1" applyBorder="1" applyAlignment="1">
      <alignment horizontal="right" vertical="center" wrapText="1"/>
    </xf>
    <xf numFmtId="49" fontId="7" fillId="0" borderId="6" xfId="17" applyNumberFormat="1" applyFont="1" applyBorder="1" applyAlignment="1">
      <alignment vertical="center"/>
    </xf>
    <xf numFmtId="0" fontId="7" fillId="0" borderId="2" xfId="0" applyFont="1" applyBorder="1"/>
    <xf numFmtId="0" fontId="6" fillId="0" borderId="2" xfId="0" applyFont="1" applyBorder="1"/>
    <xf numFmtId="169" fontId="6" fillId="0" borderId="0" xfId="1" applyAlignment="1">
      <alignment horizontal="right" vertical="center"/>
    </xf>
    <xf numFmtId="0" fontId="7" fillId="0" borderId="0" xfId="17" applyFont="1" applyAlignment="1">
      <alignment horizontal="right"/>
    </xf>
    <xf numFmtId="2" fontId="6" fillId="0" borderId="81" xfId="0" applyNumberFormat="1" applyFont="1" applyBorder="1" applyAlignment="1">
      <alignment horizontal="left" vertical="center" wrapText="1"/>
    </xf>
    <xf numFmtId="0" fontId="7" fillId="0" borderId="82" xfId="0" applyFont="1" applyBorder="1" applyAlignment="1">
      <alignment horizontal="left"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2" xfId="0" applyFont="1" applyBorder="1" applyAlignment="1">
      <alignment horizontal="left" vertical="center" wrapText="1"/>
    </xf>
    <xf numFmtId="2" fontId="6" fillId="0" borderId="81" xfId="0" applyNumberFormat="1" applyFont="1" applyBorder="1" applyAlignment="1">
      <alignment horizontal="right" vertical="center" wrapText="1"/>
    </xf>
    <xf numFmtId="0" fontId="28" fillId="0" borderId="17" xfId="5" applyFont="1" applyBorder="1" applyAlignment="1">
      <alignment horizontal="center" vertical="center" wrapText="1"/>
    </xf>
    <xf numFmtId="0" fontId="28" fillId="0" borderId="35" xfId="5" applyFont="1" applyBorder="1" applyAlignment="1">
      <alignment horizontal="center" vertical="center" wrapText="1"/>
    </xf>
    <xf numFmtId="0" fontId="6" fillId="0" borderId="17" xfId="5" applyFont="1" applyBorder="1" applyAlignment="1">
      <alignment horizontal="center" vertical="center" wrapText="1"/>
    </xf>
    <xf numFmtId="0" fontId="6" fillId="0" borderId="35" xfId="5" applyFont="1" applyBorder="1" applyAlignment="1">
      <alignment horizontal="center" vertical="center" wrapText="1"/>
    </xf>
    <xf numFmtId="0" fontId="7" fillId="0" borderId="17" xfId="5" applyFont="1" applyBorder="1" applyAlignment="1">
      <alignment horizontal="center" vertical="center" wrapText="1"/>
    </xf>
    <xf numFmtId="0" fontId="27" fillId="0" borderId="1" xfId="17" applyFont="1" applyBorder="1" applyAlignment="1">
      <alignment horizontal="center" wrapText="1"/>
    </xf>
    <xf numFmtId="0" fontId="7" fillId="0" borderId="17" xfId="17" applyFont="1" applyBorder="1" applyAlignment="1">
      <alignment horizontal="left" vertical="center" wrapText="1"/>
    </xf>
    <xf numFmtId="169" fontId="7" fillId="0" borderId="0" xfId="17" applyNumberFormat="1" applyFont="1" applyAlignment="1">
      <alignment horizontal="right"/>
    </xf>
    <xf numFmtId="0" fontId="14" fillId="0" borderId="17" xfId="17" applyFont="1" applyBorder="1" applyAlignment="1">
      <alignment horizontal="left" vertical="center"/>
    </xf>
    <xf numFmtId="176" fontId="17" fillId="0" borderId="1" xfId="1" applyNumberFormat="1" applyFont="1" applyBorder="1" applyAlignment="1">
      <alignment horizontal="center" wrapText="1"/>
    </xf>
    <xf numFmtId="0" fontId="18" fillId="0" borderId="3" xfId="17" applyFont="1" applyBorder="1" applyAlignment="1">
      <alignment horizontal="left" vertical="center" wrapText="1"/>
    </xf>
    <xf numFmtId="0" fontId="18" fillId="0" borderId="1" xfId="17" applyFont="1" applyBorder="1" applyAlignment="1">
      <alignment horizontal="center"/>
    </xf>
    <xf numFmtId="0" fontId="18" fillId="0" borderId="1" xfId="17" applyFont="1" applyBorder="1" applyAlignment="1">
      <alignment horizontal="center" wrapText="1"/>
    </xf>
    <xf numFmtId="169" fontId="6" fillId="0" borderId="0" xfId="1" applyAlignment="1">
      <alignment vertical="center"/>
    </xf>
    <xf numFmtId="169" fontId="7" fillId="0" borderId="11" xfId="1" applyFont="1" applyBorder="1" applyAlignment="1">
      <alignment horizontal="center" vertical="center" wrapText="1"/>
    </xf>
    <xf numFmtId="169" fontId="6" fillId="0" borderId="1" xfId="1" applyBorder="1" applyAlignment="1">
      <alignment wrapText="1"/>
    </xf>
    <xf numFmtId="169" fontId="7" fillId="0" borderId="1" xfId="1" applyFont="1" applyBorder="1" applyAlignment="1">
      <alignment wrapText="1"/>
    </xf>
    <xf numFmtId="169" fontId="6" fillId="0" borderId="17" xfId="1" applyFont="1" applyBorder="1" applyAlignment="1" applyProtection="1">
      <alignment horizontal="right" wrapText="1"/>
      <protection locked="0"/>
    </xf>
    <xf numFmtId="169" fontId="6" fillId="0" borderId="17" xfId="1" applyFont="1" applyBorder="1" applyAlignment="1">
      <alignment wrapText="1"/>
    </xf>
    <xf numFmtId="169" fontId="6" fillId="0" borderId="17" xfId="1" applyFont="1" applyBorder="1" applyAlignment="1">
      <alignment horizontal="right" wrapText="1"/>
    </xf>
    <xf numFmtId="169" fontId="7" fillId="0" borderId="13" xfId="1" applyFont="1" applyBorder="1" applyAlignment="1">
      <alignment vertical="center"/>
    </xf>
    <xf numFmtId="0" fontId="7" fillId="0" borderId="2" xfId="17" applyFont="1" applyBorder="1" applyAlignment="1">
      <alignment horizontal="left" vertical="center" wrapText="1"/>
    </xf>
    <xf numFmtId="0" fontId="6" fillId="0" borderId="0" xfId="17" applyAlignment="1">
      <alignment horizontal="left" vertical="top" wrapText="1"/>
    </xf>
    <xf numFmtId="170" fontId="7" fillId="0" borderId="11" xfId="3" applyNumberFormat="1" applyFont="1" applyBorder="1" applyAlignment="1">
      <alignment horizontal="right" vertical="center" wrapText="1"/>
    </xf>
    <xf numFmtId="49" fontId="6" fillId="0" borderId="2" xfId="17" applyNumberFormat="1" applyBorder="1" applyAlignment="1">
      <alignment horizontal="right" vertical="top" wrapText="1"/>
    </xf>
    <xf numFmtId="0" fontId="6" fillId="0" borderId="0" xfId="17" applyAlignment="1">
      <alignment horizontal="center" wrapText="1"/>
    </xf>
    <xf numFmtId="49" fontId="7" fillId="0" borderId="2" xfId="17" applyNumberFormat="1" applyFont="1" applyBorder="1" applyAlignment="1">
      <alignment horizontal="right" vertical="top" wrapText="1"/>
    </xf>
    <xf numFmtId="0" fontId="7" fillId="0" borderId="0" xfId="17" applyFont="1" applyAlignment="1">
      <alignment horizontal="center" wrapText="1"/>
    </xf>
    <xf numFmtId="0" fontId="7" fillId="0" borderId="0" xfId="17" applyFont="1" applyAlignment="1">
      <alignment wrapText="1"/>
    </xf>
    <xf numFmtId="49" fontId="6" fillId="0" borderId="2" xfId="17" applyNumberFormat="1" applyBorder="1" applyAlignment="1">
      <alignment horizontal="right" vertical="center" wrapText="1"/>
    </xf>
    <xf numFmtId="49" fontId="7" fillId="0" borderId="2" xfId="17" applyNumberFormat="1" applyFont="1" applyBorder="1" applyAlignment="1">
      <alignment horizontal="right" vertical="center" wrapText="1"/>
    </xf>
    <xf numFmtId="0" fontId="6" fillId="0" borderId="2" xfId="17" applyBorder="1" applyAlignment="1">
      <alignment horizontal="right" vertical="center" wrapText="1"/>
    </xf>
    <xf numFmtId="0" fontId="6" fillId="0" borderId="2" xfId="17" applyBorder="1" applyAlignment="1">
      <alignment horizontal="left" vertical="center" wrapText="1"/>
    </xf>
    <xf numFmtId="0" fontId="6" fillId="0" borderId="15" xfId="17" applyBorder="1" applyAlignment="1">
      <alignment horizontal="left" vertical="center" wrapText="1"/>
    </xf>
    <xf numFmtId="0" fontId="6" fillId="0" borderId="14" xfId="17" applyBorder="1" applyAlignment="1">
      <alignment horizontal="left" vertical="center" wrapText="1"/>
    </xf>
    <xf numFmtId="0" fontId="7" fillId="0" borderId="12" xfId="17" applyFont="1" applyBorder="1" applyAlignment="1">
      <alignment horizontal="center" vertical="center" wrapText="1"/>
    </xf>
    <xf numFmtId="0" fontId="7" fillId="0" borderId="18" xfId="17" applyFont="1" applyBorder="1" applyAlignment="1">
      <alignment horizontal="center" vertical="center" wrapText="1"/>
    </xf>
    <xf numFmtId="0" fontId="6" fillId="0" borderId="17" xfId="17" applyBorder="1" applyAlignment="1">
      <alignment wrapText="1"/>
    </xf>
    <xf numFmtId="0" fontId="7" fillId="0" borderId="17" xfId="17" applyFont="1" applyBorder="1" applyAlignment="1">
      <alignment wrapText="1"/>
    </xf>
    <xf numFmtId="0" fontId="6" fillId="0" borderId="14" xfId="17" applyBorder="1" applyAlignment="1">
      <alignment horizontal="center" wrapText="1"/>
    </xf>
    <xf numFmtId="49" fontId="6" fillId="0" borderId="2" xfId="17" applyNumberFormat="1" applyBorder="1" applyAlignment="1">
      <alignment horizontal="right" vertical="center"/>
    </xf>
    <xf numFmtId="0" fontId="6" fillId="0" borderId="14" xfId="17" applyBorder="1" applyAlignment="1">
      <alignment wrapText="1"/>
    </xf>
    <xf numFmtId="0" fontId="6" fillId="0" borderId="8" xfId="17" applyBorder="1" applyAlignment="1">
      <alignment horizontal="left" vertical="center" wrapText="1"/>
    </xf>
    <xf numFmtId="0" fontId="6" fillId="0" borderId="2" xfId="17" applyBorder="1" applyAlignment="1">
      <alignment horizontal="left" vertical="center"/>
    </xf>
    <xf numFmtId="0" fontId="6" fillId="0" borderId="2" xfId="17" applyBorder="1" applyAlignment="1">
      <alignment horizontal="left" vertical="top" wrapText="1"/>
    </xf>
    <xf numFmtId="0" fontId="6" fillId="0" borderId="5" xfId="17" applyBorder="1" applyAlignment="1">
      <alignment horizontal="left" vertical="center" wrapText="1"/>
    </xf>
    <xf numFmtId="3" fontId="6" fillId="0" borderId="0" xfId="1" applyNumberFormat="1" applyFont="1" applyBorder="1" applyAlignment="1">
      <alignment horizontal="center" wrapText="1"/>
    </xf>
    <xf numFmtId="0" fontId="6" fillId="0" borderId="0" xfId="17" applyAlignment="1">
      <alignment horizontal="center"/>
    </xf>
    <xf numFmtId="49" fontId="7" fillId="0" borderId="11" xfId="17" applyNumberFormat="1" applyFont="1" applyBorder="1" applyAlignment="1">
      <alignment horizontal="center" vertical="center"/>
    </xf>
    <xf numFmtId="49" fontId="6" fillId="0" borderId="1" xfId="17" applyNumberFormat="1" applyBorder="1" applyAlignment="1">
      <alignment vertical="center"/>
    </xf>
    <xf numFmtId="2" fontId="6" fillId="0" borderId="1" xfId="17" applyNumberFormat="1" applyBorder="1" applyAlignment="1">
      <alignment vertical="center"/>
    </xf>
    <xf numFmtId="2" fontId="7" fillId="0" borderId="1" xfId="17" applyNumberFormat="1" applyFont="1" applyBorder="1" applyAlignment="1">
      <alignment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2" fontId="6" fillId="0" borderId="0" xfId="17" applyNumberFormat="1" applyAlignment="1">
      <alignment horizontal="center" vertical="center" wrapText="1"/>
    </xf>
    <xf numFmtId="0" fontId="7" fillId="0" borderId="7" xfId="17" applyFont="1" applyBorder="1" applyAlignment="1">
      <alignment vertical="center"/>
    </xf>
    <xf numFmtId="49" fontId="7" fillId="0" borderId="15" xfId="17" applyNumberFormat="1" applyFont="1" applyBorder="1" applyAlignment="1">
      <alignment horizontal="right" vertical="center"/>
    </xf>
    <xf numFmtId="0" fontId="6" fillId="0" borderId="1" xfId="0" applyFont="1" applyBorder="1" applyAlignment="1">
      <alignment horizontal="left" vertical="top" wrapText="1"/>
    </xf>
    <xf numFmtId="0" fontId="7" fillId="0" borderId="6" xfId="17" applyFont="1" applyBorder="1" applyAlignment="1">
      <alignment vertical="center"/>
    </xf>
    <xf numFmtId="0" fontId="7" fillId="0" borderId="1" xfId="0" applyFont="1" applyBorder="1" applyAlignment="1">
      <alignment horizontal="center" vertical="center" wrapText="1"/>
    </xf>
    <xf numFmtId="0" fontId="7" fillId="0" borderId="1" xfId="17" applyFont="1" applyBorder="1" applyAlignment="1">
      <alignment horizontal="center" vertical="top"/>
    </xf>
    <xf numFmtId="0" fontId="7" fillId="0" borderId="1" xfId="0" applyFont="1" applyBorder="1" applyAlignment="1">
      <alignment horizontal="left" vertical="top" wrapText="1"/>
    </xf>
    <xf numFmtId="0" fontId="6" fillId="0" borderId="1" xfId="0" applyFont="1" applyBorder="1" applyAlignment="1">
      <alignment horizontal="center" vertical="top" wrapText="1"/>
    </xf>
    <xf numFmtId="49" fontId="7" fillId="0" borderId="6" xfId="17" applyNumberFormat="1" applyFont="1" applyBorder="1" applyAlignment="1">
      <alignment horizontal="center" vertical="center"/>
    </xf>
    <xf numFmtId="170" fontId="6" fillId="0" borderId="18" xfId="3" applyNumberFormat="1" applyFont="1" applyBorder="1" applyAlignment="1">
      <alignment horizontal="right" vertical="center" wrapText="1"/>
    </xf>
    <xf numFmtId="0" fontId="17" fillId="0" borderId="0" xfId="17" applyFont="1" applyAlignment="1">
      <alignment horizontal="center" wrapText="1"/>
    </xf>
    <xf numFmtId="0" fontId="17" fillId="0" borderId="0" xfId="17" applyFont="1" applyAlignment="1">
      <alignment horizontal="left" vertical="center" wrapText="1"/>
    </xf>
    <xf numFmtId="0" fontId="6" fillId="0" borderId="0" xfId="5" applyFont="1" applyAlignment="1">
      <alignment horizontal="center" vertical="top" wrapText="1"/>
    </xf>
    <xf numFmtId="0" fontId="6" fillId="0" borderId="0" xfId="5" applyFont="1" applyAlignment="1">
      <alignment vertical="top" wrapText="1"/>
    </xf>
    <xf numFmtId="170" fontId="6" fillId="0" borderId="0" xfId="5" applyNumberFormat="1" applyFont="1" applyAlignment="1">
      <alignment horizontal="center"/>
    </xf>
    <xf numFmtId="3" fontId="17" fillId="0" borderId="0" xfId="1" applyNumberFormat="1" applyFont="1" applyBorder="1" applyAlignment="1">
      <alignment horizontal="center" wrapText="1"/>
    </xf>
    <xf numFmtId="2" fontId="6" fillId="0" borderId="1" xfId="5" applyNumberFormat="1" applyFont="1" applyBorder="1" applyAlignment="1">
      <alignment horizontal="left" vertical="center"/>
    </xf>
    <xf numFmtId="0" fontId="6" fillId="0" borderId="1" xfId="5" applyFont="1" applyBorder="1" applyAlignment="1">
      <alignment horizontal="center" vertical="top" wrapText="1"/>
    </xf>
    <xf numFmtId="0" fontId="6" fillId="0" borderId="25" xfId="17" applyBorder="1" applyAlignment="1">
      <alignment horizontal="center" vertical="center" wrapText="1"/>
    </xf>
    <xf numFmtId="0" fontId="6" fillId="0" borderId="15" xfId="17" applyBorder="1" applyAlignment="1">
      <alignment vertical="center" wrapText="1"/>
    </xf>
    <xf numFmtId="0" fontId="6" fillId="0" borderId="11" xfId="17" applyBorder="1" applyAlignment="1">
      <alignment horizontal="left" vertical="center" wrapText="1"/>
    </xf>
    <xf numFmtId="44" fontId="0" fillId="0" borderId="41" xfId="3" applyNumberFormat="1" applyFont="1" applyBorder="1" applyAlignment="1">
      <alignment vertical="center" wrapText="1"/>
    </xf>
    <xf numFmtId="0" fontId="6" fillId="8" borderId="1" xfId="17" applyFill="1" applyBorder="1" applyAlignment="1">
      <alignment wrapText="1"/>
    </xf>
    <xf numFmtId="170" fontId="6" fillId="8" borderId="1" xfId="3" applyNumberFormat="1" applyFont="1" applyFill="1" applyBorder="1" applyAlignment="1">
      <alignment horizontal="right" wrapText="1"/>
    </xf>
    <xf numFmtId="170" fontId="6" fillId="8" borderId="1" xfId="3" applyNumberFormat="1" applyFont="1" applyFill="1" applyBorder="1" applyAlignment="1">
      <alignment horizontal="right" vertical="center" wrapText="1"/>
    </xf>
    <xf numFmtId="49" fontId="7" fillId="8" borderId="13" xfId="17" applyNumberFormat="1" applyFont="1" applyFill="1" applyBorder="1" applyAlignment="1">
      <alignment vertical="center"/>
    </xf>
    <xf numFmtId="170" fontId="6" fillId="8" borderId="11" xfId="3" applyNumberFormat="1" applyFont="1" applyFill="1" applyBorder="1" applyAlignment="1">
      <alignment horizontal="right" vertical="center" wrapText="1"/>
    </xf>
    <xf numFmtId="0" fontId="7" fillId="8" borderId="1" xfId="17" applyFont="1" applyFill="1" applyBorder="1" applyAlignment="1">
      <alignment wrapText="1"/>
    </xf>
    <xf numFmtId="170" fontId="7" fillId="8" borderId="1" xfId="3" applyNumberFormat="1" applyFont="1" applyFill="1" applyBorder="1" applyAlignment="1">
      <alignment horizontal="right" vertical="center" wrapText="1"/>
    </xf>
    <xf numFmtId="0" fontId="6" fillId="8" borderId="1" xfId="17" applyFill="1" applyBorder="1" applyAlignment="1">
      <alignment vertical="center" wrapText="1"/>
    </xf>
    <xf numFmtId="49" fontId="7" fillId="8" borderId="0" xfId="17" applyNumberFormat="1" applyFont="1" applyFill="1" applyAlignment="1">
      <alignment vertical="center"/>
    </xf>
    <xf numFmtId="9" fontId="6" fillId="0" borderId="1" xfId="17" applyNumberFormat="1" applyBorder="1" applyAlignment="1">
      <alignment vertical="center" wrapText="1"/>
    </xf>
    <xf numFmtId="0" fontId="6" fillId="0" borderId="1" xfId="17" applyBorder="1" applyAlignment="1">
      <alignment horizontal="right" wrapText="1"/>
    </xf>
    <xf numFmtId="0" fontId="0" fillId="0" borderId="0" xfId="0" applyAlignment="1">
      <alignment wrapText="1"/>
    </xf>
    <xf numFmtId="169" fontId="6" fillId="0" borderId="1" xfId="1" applyFill="1" applyBorder="1" applyAlignment="1">
      <alignment wrapText="1"/>
    </xf>
    <xf numFmtId="4" fontId="17" fillId="0" borderId="1" xfId="1" applyNumberFormat="1" applyFont="1" applyBorder="1" applyAlignment="1">
      <alignment horizontal="center" wrapText="1"/>
    </xf>
    <xf numFmtId="0" fontId="18" fillId="0" borderId="34" xfId="17" applyFont="1" applyBorder="1" applyAlignment="1">
      <alignment horizontal="left" vertical="center" indent="1"/>
    </xf>
    <xf numFmtId="10" fontId="7" fillId="0" borderId="11" xfId="7" applyNumberFormat="1" applyFont="1" applyBorder="1" applyAlignment="1">
      <alignment horizontal="center" vertical="center" wrapText="1"/>
    </xf>
    <xf numFmtId="0" fontId="6" fillId="0" borderId="84" xfId="0" applyFont="1" applyBorder="1" applyAlignment="1">
      <alignment horizontal="left" vertical="center" wrapText="1"/>
    </xf>
    <xf numFmtId="0" fontId="6" fillId="0" borderId="0" xfId="0" applyFont="1" applyAlignment="1">
      <alignment horizontal="left" vertical="center" wrapText="1"/>
    </xf>
    <xf numFmtId="0" fontId="6" fillId="0" borderId="4" xfId="17"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center" vertical="center" wrapText="1"/>
    </xf>
    <xf numFmtId="0" fontId="6" fillId="3" borderId="85" xfId="0" applyFont="1" applyFill="1" applyBorder="1"/>
    <xf numFmtId="0" fontId="0" fillId="3" borderId="1" xfId="0" applyFill="1" applyBorder="1"/>
    <xf numFmtId="0" fontId="6" fillId="3" borderId="1" xfId="0" applyFont="1" applyFill="1" applyBorder="1"/>
    <xf numFmtId="0" fontId="0" fillId="4" borderId="86" xfId="0" applyFill="1" applyBorder="1"/>
    <xf numFmtId="0" fontId="7" fillId="0" borderId="0" xfId="17" applyFont="1" applyAlignment="1">
      <alignment horizontal="left"/>
    </xf>
    <xf numFmtId="0" fontId="6" fillId="0" borderId="4" xfId="17" applyBorder="1" applyAlignment="1">
      <alignment horizontal="left"/>
    </xf>
    <xf numFmtId="49" fontId="7" fillId="0" borderId="11" xfId="17" applyNumberFormat="1" applyFont="1" applyBorder="1" applyAlignment="1">
      <alignment horizontal="center" wrapText="1"/>
    </xf>
    <xf numFmtId="49" fontId="6" fillId="0" borderId="1" xfId="17" applyNumberFormat="1" applyBorder="1" applyAlignment="1">
      <alignment horizontal="left" wrapText="1"/>
    </xf>
    <xf numFmtId="170" fontId="6" fillId="0" borderId="1" xfId="3" applyNumberFormat="1" applyBorder="1" applyAlignment="1">
      <alignment horizontal="right" wrapText="1"/>
    </xf>
    <xf numFmtId="170" fontId="6" fillId="0" borderId="0" xfId="3" applyNumberFormat="1" applyAlignment="1">
      <alignment horizontal="right" wrapText="1"/>
    </xf>
    <xf numFmtId="49" fontId="7" fillId="0" borderId="1" xfId="17" applyNumberFormat="1" applyFont="1" applyBorder="1" applyAlignment="1">
      <alignment horizontal="right" wrapText="1"/>
    </xf>
    <xf numFmtId="170" fontId="6" fillId="0" borderId="0" xfId="3" applyNumberFormat="1" applyAlignment="1">
      <alignment horizontal="right" vertical="center" wrapText="1"/>
    </xf>
    <xf numFmtId="169" fontId="6" fillId="0" borderId="1" xfId="1" applyBorder="1" applyAlignment="1">
      <alignment vertical="center" wrapText="1"/>
    </xf>
    <xf numFmtId="49" fontId="6" fillId="0" borderId="1" xfId="17" applyNumberFormat="1" applyBorder="1" applyAlignment="1">
      <alignment horizontal="center" wrapText="1"/>
    </xf>
    <xf numFmtId="170" fontId="7" fillId="0" borderId="0" xfId="1" applyNumberFormat="1" applyFont="1" applyAlignment="1">
      <alignment horizontal="right" vertical="center" wrapText="1"/>
    </xf>
    <xf numFmtId="49" fontId="6" fillId="0" borderId="0" xfId="17" applyNumberFormat="1" applyAlignment="1">
      <alignment horizontal="left"/>
    </xf>
    <xf numFmtId="0" fontId="7" fillId="0" borderId="0" xfId="17" applyFont="1" applyAlignment="1">
      <alignment horizontal="center" vertical="center" wrapText="1"/>
    </xf>
    <xf numFmtId="4" fontId="6" fillId="0" borderId="1" xfId="1" applyNumberFormat="1" applyFont="1" applyBorder="1" applyAlignment="1">
      <alignment horizontal="center" vertical="center" wrapText="1"/>
    </xf>
    <xf numFmtId="4" fontId="6" fillId="0" borderId="1" xfId="1" applyNumberFormat="1" applyFont="1" applyFill="1" applyBorder="1" applyAlignment="1">
      <alignment horizontal="center" wrapText="1"/>
    </xf>
    <xf numFmtId="4" fontId="6" fillId="0" borderId="1" xfId="1" applyNumberFormat="1" applyFont="1" applyFill="1" applyBorder="1" applyAlignment="1">
      <alignment horizontal="center" vertical="center" wrapText="1"/>
    </xf>
    <xf numFmtId="4" fontId="6" fillId="0" borderId="1" xfId="17" applyNumberFormat="1" applyBorder="1" applyAlignment="1">
      <alignment horizontal="center" vertical="center" wrapText="1"/>
    </xf>
    <xf numFmtId="4" fontId="6" fillId="0" borderId="1" xfId="17" applyNumberFormat="1" applyBorder="1" applyAlignment="1">
      <alignment horizontal="center" vertical="center"/>
    </xf>
    <xf numFmtId="4" fontId="6" fillId="0" borderId="80" xfId="5" applyNumberFormat="1" applyFont="1" applyBorder="1" applyAlignment="1">
      <alignment horizontal="center" vertical="top" wrapText="1"/>
    </xf>
    <xf numFmtId="0" fontId="7" fillId="0" borderId="35" xfId="5" applyFont="1" applyBorder="1" applyAlignment="1">
      <alignment horizontal="center" vertical="center" wrapText="1"/>
    </xf>
    <xf numFmtId="170" fontId="6" fillId="0" borderId="1" xfId="3" applyNumberFormat="1" applyBorder="1" applyAlignment="1">
      <alignment horizontal="right" vertical="center" wrapText="1"/>
    </xf>
    <xf numFmtId="0" fontId="7" fillId="0" borderId="2" xfId="0" applyFont="1" applyBorder="1" applyAlignment="1">
      <alignment horizontal="right"/>
    </xf>
    <xf numFmtId="0" fontId="6" fillId="0" borderId="2" xfId="0" applyFont="1" applyBorder="1" applyAlignment="1">
      <alignment horizontal="right"/>
    </xf>
    <xf numFmtId="1" fontId="6" fillId="0" borderId="0" xfId="17" applyNumberFormat="1" applyAlignment="1">
      <alignment horizontal="center" vertical="center" wrapText="1"/>
    </xf>
    <xf numFmtId="0" fontId="6" fillId="0" borderId="0" xfId="17" applyFont="1" applyAlignment="1">
      <alignment horizontal="center" vertical="center" wrapText="1"/>
    </xf>
    <xf numFmtId="0" fontId="7" fillId="0" borderId="0" xfId="17" applyFont="1" applyAlignment="1">
      <alignment horizontal="left" vertical="top"/>
    </xf>
    <xf numFmtId="0" fontId="6" fillId="0" borderId="4" xfId="17"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left" vertical="center"/>
    </xf>
    <xf numFmtId="0" fontId="7" fillId="0" borderId="0" xfId="17" applyFont="1" applyAlignment="1">
      <alignment horizontal="center" vertical="center" wrapText="1"/>
    </xf>
    <xf numFmtId="0" fontId="7" fillId="0" borderId="0" xfId="17" applyFont="1" applyAlignment="1">
      <alignment horizontal="left" vertical="top"/>
    </xf>
    <xf numFmtId="0" fontId="7" fillId="0" borderId="17" xfId="17" applyFont="1" applyBorder="1" applyAlignment="1">
      <alignment horizontal="center" vertical="center" wrapText="1"/>
    </xf>
    <xf numFmtId="0" fontId="7" fillId="0" borderId="0" xfId="17" applyFont="1" applyAlignment="1">
      <alignment horizontal="left" vertical="center"/>
    </xf>
    <xf numFmtId="0" fontId="6" fillId="10" borderId="1" xfId="17" applyFill="1" applyBorder="1" applyAlignment="1">
      <alignment wrapText="1"/>
    </xf>
    <xf numFmtId="170" fontId="6" fillId="10" borderId="1" xfId="3" applyNumberFormat="1" applyFont="1" applyFill="1" applyBorder="1" applyAlignment="1">
      <alignment horizontal="right" vertical="center" wrapText="1"/>
    </xf>
    <xf numFmtId="0" fontId="7" fillId="10" borderId="1" xfId="17" applyFont="1" applyFill="1" applyBorder="1" applyAlignment="1">
      <alignment wrapText="1"/>
    </xf>
    <xf numFmtId="170" fontId="7" fillId="10" borderId="1" xfId="3" applyNumberFormat="1" applyFont="1" applyFill="1" applyBorder="1" applyAlignment="1">
      <alignment horizontal="right" vertical="center" wrapText="1"/>
    </xf>
    <xf numFmtId="170" fontId="6" fillId="10" borderId="1" xfId="3" applyNumberFormat="1" applyFont="1" applyFill="1" applyBorder="1" applyAlignment="1">
      <alignment horizontal="right" wrapText="1"/>
    </xf>
    <xf numFmtId="0" fontId="6" fillId="10" borderId="0" xfId="17" applyFill="1" applyAlignment="1">
      <alignment vertical="center"/>
    </xf>
    <xf numFmtId="49" fontId="6" fillId="10" borderId="0" xfId="17" applyNumberFormat="1" applyFill="1" applyAlignment="1">
      <alignment vertical="center"/>
    </xf>
    <xf numFmtId="49" fontId="7" fillId="10" borderId="1" xfId="17" applyNumberFormat="1" applyFont="1" applyFill="1" applyBorder="1" applyAlignment="1">
      <alignment vertical="center"/>
    </xf>
    <xf numFmtId="170" fontId="6" fillId="10" borderId="7" xfId="3" applyNumberFormat="1" applyFont="1" applyFill="1" applyBorder="1" applyAlignment="1">
      <alignment horizontal="right" vertical="center" wrapText="1"/>
    </xf>
    <xf numFmtId="170" fontId="6" fillId="10" borderId="17" xfId="3" applyNumberFormat="1" applyFont="1" applyFill="1" applyBorder="1" applyAlignment="1">
      <alignment horizontal="right" vertical="center" wrapText="1"/>
    </xf>
    <xf numFmtId="49" fontId="6" fillId="10" borderId="1" xfId="17" applyNumberFormat="1" applyFill="1" applyBorder="1" applyAlignment="1">
      <alignment vertical="center"/>
    </xf>
    <xf numFmtId="2" fontId="7" fillId="10" borderId="1" xfId="17" applyNumberFormat="1" applyFont="1" applyFill="1" applyBorder="1" applyAlignment="1">
      <alignment vertical="center"/>
    </xf>
    <xf numFmtId="2" fontId="6" fillId="10" borderId="1" xfId="17" applyNumberFormat="1" applyFill="1" applyBorder="1" applyAlignment="1">
      <alignment vertical="center"/>
    </xf>
    <xf numFmtId="49" fontId="7" fillId="10" borderId="14" xfId="17" applyNumberFormat="1" applyFont="1" applyFill="1" applyBorder="1" applyAlignment="1">
      <alignment vertical="center"/>
    </xf>
    <xf numFmtId="170" fontId="6" fillId="10" borderId="16" xfId="3" applyNumberFormat="1" applyFont="1" applyFill="1" applyBorder="1" applyAlignment="1">
      <alignment horizontal="right" vertical="center" wrapText="1"/>
    </xf>
    <xf numFmtId="0" fontId="6" fillId="0" borderId="1" xfId="17" applyFont="1" applyBorder="1" applyAlignment="1">
      <alignment horizontal="left" vertical="center" wrapText="1"/>
    </xf>
    <xf numFmtId="49" fontId="6" fillId="0" borderId="14" xfId="17" applyNumberFormat="1" applyBorder="1" applyAlignment="1">
      <alignment horizontal="right" vertical="center" wrapText="1"/>
    </xf>
    <xf numFmtId="0" fontId="6" fillId="0" borderId="17" xfId="17" applyBorder="1" applyAlignment="1">
      <alignment horizontal="center" vertical="center" wrapText="1"/>
    </xf>
    <xf numFmtId="3" fontId="6" fillId="0" borderId="17" xfId="1" applyNumberFormat="1" applyFont="1" applyBorder="1" applyAlignment="1">
      <alignment horizontal="center" vertical="center" wrapText="1"/>
    </xf>
    <xf numFmtId="49" fontId="7" fillId="0" borderId="18" xfId="17" applyNumberFormat="1" applyFont="1" applyBorder="1" applyAlignment="1">
      <alignment vertical="center"/>
    </xf>
    <xf numFmtId="0" fontId="6" fillId="0" borderId="17" xfId="17" applyBorder="1" applyAlignment="1">
      <alignment vertical="center" wrapText="1"/>
    </xf>
    <xf numFmtId="0" fontId="6" fillId="0" borderId="6" xfId="17" applyBorder="1" applyAlignment="1">
      <alignment horizontal="right" vertical="center"/>
    </xf>
    <xf numFmtId="0" fontId="6" fillId="0" borderId="35" xfId="0" applyFont="1" applyBorder="1" applyAlignment="1">
      <alignment horizontal="left" vertical="center" wrapText="1"/>
    </xf>
    <xf numFmtId="0" fontId="6" fillId="0" borderId="84" xfId="0" applyFont="1" applyBorder="1" applyAlignment="1">
      <alignment horizontal="right" vertical="center" wrapText="1"/>
    </xf>
    <xf numFmtId="0" fontId="6" fillId="0" borderId="0" xfId="0" applyFont="1" applyAlignment="1">
      <alignment horizontal="left" vertical="center"/>
    </xf>
    <xf numFmtId="0" fontId="7" fillId="0" borderId="11" xfId="17" applyFont="1" applyBorder="1" applyAlignment="1">
      <alignment vertical="center"/>
    </xf>
    <xf numFmtId="0" fontId="6" fillId="0" borderId="11" xfId="17" applyBorder="1" applyAlignment="1">
      <alignment horizontal="center" vertical="center" wrapText="1"/>
    </xf>
    <xf numFmtId="169" fontId="6" fillId="0" borderId="11" xfId="17" applyNumberFormat="1" applyBorder="1" applyAlignment="1">
      <alignment horizontal="center" vertical="center" wrapText="1"/>
    </xf>
    <xf numFmtId="169" fontId="6" fillId="0" borderId="11" xfId="1" applyBorder="1" applyAlignment="1">
      <alignment wrapText="1"/>
    </xf>
    <xf numFmtId="0" fontId="6" fillId="0" borderId="0" xfId="17" applyBorder="1" applyAlignment="1">
      <alignment vertical="center" wrapText="1"/>
    </xf>
    <xf numFmtId="0" fontId="6" fillId="0" borderId="0" xfId="17" applyBorder="1" applyAlignment="1">
      <alignmen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vertical="center"/>
    </xf>
    <xf numFmtId="0" fontId="6" fillId="0" borderId="0" xfId="17" applyFont="1" applyAlignment="1">
      <alignment horizontal="right" vertical="center"/>
    </xf>
    <xf numFmtId="49" fontId="6" fillId="0" borderId="1" xfId="17" applyNumberFormat="1" applyFont="1" applyBorder="1" applyAlignment="1">
      <alignment horizontal="right" vertical="center" wrapText="1"/>
    </xf>
    <xf numFmtId="0" fontId="6" fillId="0" borderId="1" xfId="17" applyFont="1" applyBorder="1" applyAlignment="1">
      <alignment horizontal="center" wrapText="1"/>
    </xf>
    <xf numFmtId="0" fontId="6" fillId="0" borderId="1" xfId="17" applyFont="1" applyBorder="1" applyAlignment="1">
      <alignment wrapText="1"/>
    </xf>
    <xf numFmtId="49" fontId="6" fillId="0" borderId="1" xfId="17" applyNumberFormat="1" applyFont="1" applyBorder="1" applyAlignment="1">
      <alignment horizontal="left" vertical="top" wrapText="1"/>
    </xf>
    <xf numFmtId="0" fontId="6" fillId="0" borderId="1" xfId="17" applyFont="1" applyBorder="1" applyAlignment="1">
      <alignment horizontal="center" vertical="center" wrapText="1"/>
    </xf>
    <xf numFmtId="0" fontId="6" fillId="0" borderId="1" xfId="0" applyFont="1" applyBorder="1" applyAlignment="1" applyProtection="1">
      <alignment horizontal="left" vertical="top" wrapText="1" indent="1"/>
      <protection locked="0"/>
    </xf>
    <xf numFmtId="0" fontId="6" fillId="0" borderId="1" xfId="0" applyFont="1" applyBorder="1" applyAlignment="1" applyProtection="1">
      <alignment horizontal="center"/>
      <protection locked="0"/>
    </xf>
    <xf numFmtId="49" fontId="6" fillId="0" borderId="1" xfId="17" applyNumberFormat="1" applyFont="1" applyBorder="1" applyAlignment="1">
      <alignment horizontal="right" vertical="top" wrapText="1"/>
    </xf>
    <xf numFmtId="0" fontId="6" fillId="0" borderId="3" xfId="17" applyFont="1" applyBorder="1" applyAlignment="1">
      <alignment horizontal="left" vertical="center" wrapText="1"/>
    </xf>
    <xf numFmtId="0" fontId="6" fillId="0" borderId="17" xfId="17" applyFont="1" applyBorder="1" applyAlignment="1">
      <alignment horizontal="left" vertical="center" wrapText="1"/>
    </xf>
    <xf numFmtId="0" fontId="6" fillId="0" borderId="17" xfId="17" applyFont="1" applyBorder="1" applyAlignment="1">
      <alignment horizontal="left" vertical="center"/>
    </xf>
    <xf numFmtId="0" fontId="6" fillId="0" borderId="1" xfId="17" applyFont="1" applyBorder="1" applyAlignment="1">
      <alignment horizontal="center"/>
    </xf>
    <xf numFmtId="49" fontId="6" fillId="0" borderId="1" xfId="17" applyNumberFormat="1" applyFont="1" applyBorder="1" applyAlignment="1">
      <alignment horizontal="right" wrapText="1"/>
    </xf>
    <xf numFmtId="0" fontId="30" fillId="0" borderId="1" xfId="17" applyFont="1" applyBorder="1" applyAlignment="1">
      <alignment horizontal="center" vertical="center" wrapText="1"/>
    </xf>
    <xf numFmtId="0" fontId="6" fillId="0" borderId="3" xfId="17" applyFont="1" applyBorder="1" applyAlignment="1">
      <alignment horizontal="left" vertical="center"/>
    </xf>
    <xf numFmtId="3" fontId="6" fillId="0" borderId="1" xfId="17" applyNumberFormat="1" applyFont="1" applyBorder="1" applyAlignment="1">
      <alignment horizontal="center" wrapText="1"/>
    </xf>
    <xf numFmtId="49" fontId="7" fillId="0" borderId="2" xfId="17" applyNumberFormat="1" applyFont="1" applyBorder="1" applyAlignment="1">
      <alignment horizontal="right" wrapText="1"/>
    </xf>
    <xf numFmtId="0" fontId="7" fillId="0" borderId="15" xfId="17" applyFont="1" applyBorder="1" applyAlignment="1">
      <alignment horizontal="center" vertical="center" wrapText="1"/>
    </xf>
    <xf numFmtId="0" fontId="29" fillId="9" borderId="17" xfId="0" applyFont="1" applyFill="1" applyBorder="1" applyAlignment="1">
      <alignment vertical="center"/>
    </xf>
    <xf numFmtId="184" fontId="6" fillId="0" borderId="1" xfId="0" applyNumberFormat="1" applyFont="1" applyBorder="1" applyAlignment="1" applyProtection="1">
      <alignment horizontal="center" wrapText="1"/>
      <protection locked="0"/>
    </xf>
    <xf numFmtId="0" fontId="0" fillId="0" borderId="0" xfId="0" applyAlignment="1">
      <alignment horizontal="center"/>
    </xf>
    <xf numFmtId="0" fontId="7" fillId="0" borderId="0" xfId="17" applyFont="1" applyAlignment="1">
      <alignment horizontal="right" vertical="top"/>
    </xf>
    <xf numFmtId="0" fontId="7" fillId="0" borderId="4" xfId="17" applyFont="1" applyBorder="1" applyAlignment="1">
      <alignment horizontal="right" vertical="top"/>
    </xf>
    <xf numFmtId="0" fontId="7" fillId="0" borderId="0" xfId="17" applyFont="1" applyAlignment="1">
      <alignment horizontal="left" vertical="top"/>
    </xf>
    <xf numFmtId="0" fontId="6" fillId="0" borderId="4" xfId="17" applyBorder="1" applyAlignment="1">
      <alignment horizontal="center" vertical="center"/>
    </xf>
    <xf numFmtId="0" fontId="7" fillId="0" borderId="2" xfId="17" applyFont="1" applyBorder="1" applyAlignment="1">
      <alignment horizontal="left" vertical="center" wrapText="1"/>
    </xf>
    <xf numFmtId="0" fontId="7" fillId="0" borderId="0" xfId="17" applyFont="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right" vertical="center"/>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2" xfId="17" applyFont="1" applyBorder="1" applyAlignment="1">
      <alignment horizontal="left" vertical="center"/>
    </xf>
    <xf numFmtId="0" fontId="7" fillId="0" borderId="0" xfId="17" applyFont="1" applyAlignment="1">
      <alignment horizontal="left" vertical="center"/>
    </xf>
    <xf numFmtId="0" fontId="7" fillId="0" borderId="5" xfId="17" applyFont="1" applyBorder="1" applyAlignment="1">
      <alignment horizontal="left" vertical="center"/>
    </xf>
    <xf numFmtId="0" fontId="7" fillId="0" borderId="4" xfId="17" applyFont="1" applyBorder="1" applyAlignment="1">
      <alignment horizontal="left" vertical="center"/>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0" fontId="18" fillId="0" borderId="0" xfId="17" applyFont="1" applyAlignment="1">
      <alignment horizontal="right" vertical="center"/>
    </xf>
    <xf numFmtId="0" fontId="18" fillId="0" borderId="7" xfId="17" applyFont="1" applyBorder="1" applyAlignment="1">
      <alignment horizontal="right" vertical="top" wrapText="1"/>
    </xf>
    <xf numFmtId="0" fontId="18" fillId="0" borderId="17" xfId="17" applyFont="1" applyBorder="1" applyAlignment="1">
      <alignment horizontal="right" vertical="top" wrapText="1"/>
    </xf>
    <xf numFmtId="0" fontId="18" fillId="0" borderId="16" xfId="17" applyFont="1" applyBorder="1" applyAlignment="1">
      <alignment horizontal="right" vertical="top" wrapText="1"/>
    </xf>
    <xf numFmtId="0" fontId="18" fillId="0" borderId="8" xfId="17" applyFont="1" applyBorder="1" applyAlignment="1">
      <alignment horizontal="left" vertical="center"/>
    </xf>
    <xf numFmtId="0" fontId="18" fillId="0" borderId="6" xfId="17" applyFont="1" applyBorder="1" applyAlignment="1">
      <alignment horizontal="left" vertical="center"/>
    </xf>
    <xf numFmtId="0" fontId="18" fillId="0" borderId="2" xfId="17" applyFont="1" applyBorder="1" applyAlignment="1">
      <alignment horizontal="left" vertical="center"/>
    </xf>
    <xf numFmtId="0" fontId="18" fillId="0" borderId="0" xfId="17" applyFont="1" applyAlignment="1">
      <alignment horizontal="left" vertical="center"/>
    </xf>
    <xf numFmtId="0" fontId="18" fillId="0" borderId="5" xfId="17" applyFont="1" applyBorder="1" applyAlignment="1">
      <alignment horizontal="left" vertical="center"/>
    </xf>
    <xf numFmtId="0" fontId="18" fillId="0" borderId="4" xfId="17" applyFont="1" applyBorder="1" applyAlignment="1">
      <alignment horizontal="left" vertical="center"/>
    </xf>
    <xf numFmtId="0" fontId="7" fillId="0" borderId="6" xfId="17" applyFont="1" applyBorder="1" applyAlignment="1">
      <alignment horizontal="center" vertical="top" wrapText="1"/>
    </xf>
    <xf numFmtId="0" fontId="7" fillId="0" borderId="0" xfId="17" applyFont="1" applyAlignment="1">
      <alignment horizontal="center" vertical="top" wrapText="1"/>
    </xf>
    <xf numFmtId="0" fontId="7" fillId="0" borderId="4" xfId="17" applyFont="1" applyBorder="1" applyAlignment="1">
      <alignment horizontal="center" vertical="top" wrapText="1"/>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33" xfId="17" applyNumberFormat="1" applyFont="1" applyBorder="1" applyAlignment="1">
      <alignment horizontal="left"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18" fillId="0" borderId="0" xfId="17" applyFont="1" applyAlignment="1">
      <alignment horizontal="left" vertical="top" wrapText="1" indent="1"/>
    </xf>
    <xf numFmtId="0" fontId="18" fillId="0" borderId="0" xfId="17" applyFont="1" applyAlignment="1">
      <alignment horizontal="left" vertical="top" indent="1"/>
    </xf>
    <xf numFmtId="0" fontId="20" fillId="0" borderId="0" xfId="17" applyFont="1" applyAlignment="1">
      <alignment horizontal="center" vertical="center"/>
    </xf>
    <xf numFmtId="0" fontId="21" fillId="0" borderId="0" xfId="17" applyFont="1" applyAlignment="1">
      <alignment horizontal="center" vertical="top" wrapText="1"/>
    </xf>
    <xf numFmtId="0" fontId="18" fillId="0" borderId="32" xfId="0" applyFont="1" applyBorder="1" applyAlignment="1">
      <alignment horizontal="left" vertical="center" wrapText="1"/>
    </xf>
    <xf numFmtId="0" fontId="18" fillId="0" borderId="49" xfId="0" applyFont="1" applyBorder="1" applyAlignment="1">
      <alignment horizontal="left" vertical="center" wrapText="1"/>
    </xf>
    <xf numFmtId="0" fontId="18" fillId="0" borderId="32" xfId="17" applyFont="1" applyBorder="1" applyAlignment="1">
      <alignment horizontal="left" vertical="center" wrapText="1"/>
    </xf>
    <xf numFmtId="0" fontId="18" fillId="0" borderId="49" xfId="17" applyFont="1" applyBorder="1" applyAlignment="1">
      <alignment horizontal="left" vertical="center" wrapText="1"/>
    </xf>
    <xf numFmtId="0" fontId="6" fillId="0" borderId="0" xfId="17" applyAlignment="1">
      <alignment horizontal="left" vertical="top" wrapText="1"/>
    </xf>
    <xf numFmtId="0" fontId="17" fillId="0" borderId="42" xfId="0" applyFont="1" applyBorder="1" applyAlignment="1">
      <alignment horizontal="left" vertical="center" wrapText="1"/>
    </xf>
    <xf numFmtId="0" fontId="17" fillId="0" borderId="18" xfId="0" applyFont="1" applyBorder="1" applyAlignment="1">
      <alignment horizontal="left" vertical="center" wrapText="1"/>
    </xf>
    <xf numFmtId="0" fontId="6" fillId="0" borderId="0" xfId="17" applyAlignment="1">
      <alignment horizontal="center" vertical="center" wrapText="1"/>
    </xf>
    <xf numFmtId="0" fontId="17" fillId="0" borderId="42" xfId="17" applyFont="1" applyBorder="1" applyAlignment="1">
      <alignment horizontal="left" vertical="center" wrapText="1"/>
    </xf>
    <xf numFmtId="0" fontId="17" fillId="0" borderId="18" xfId="17" applyFont="1" applyBorder="1" applyAlignment="1">
      <alignment horizontal="left" vertical="center" wrapText="1"/>
    </xf>
    <xf numFmtId="0" fontId="17" fillId="0" borderId="46" xfId="17" applyFont="1" applyBorder="1" applyAlignment="1">
      <alignment horizontal="left" vertical="center" wrapText="1"/>
    </xf>
    <xf numFmtId="0" fontId="17" fillId="0" borderId="7" xfId="17" applyFont="1" applyBorder="1" applyAlignment="1">
      <alignment horizontal="left" vertical="center" wrapText="1"/>
    </xf>
    <xf numFmtId="0" fontId="17" fillId="0" borderId="46" xfId="0" applyFont="1" applyBorder="1" applyAlignment="1">
      <alignment horizontal="left" vertical="center" wrapText="1"/>
    </xf>
    <xf numFmtId="0" fontId="17" fillId="0" borderId="7" xfId="0" applyFont="1" applyBorder="1" applyAlignment="1">
      <alignment horizontal="left" vertical="center" wrapText="1"/>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2" xfId="5" xr:uid="{00000000-0005-0000-0000-00000F000000}"/>
    <cellStyle name="Normal 2 2" xfId="12" xr:uid="{00000000-0005-0000-0000-000010000000}"/>
    <cellStyle name="Normal 2 3" xfId="13" xr:uid="{00000000-0005-0000-0000-000011000000}"/>
    <cellStyle name="Normal 4" xfId="8" xr:uid="{00000000-0005-0000-0000-000012000000}"/>
    <cellStyle name="Normal 4 2" xfId="24" xr:uid="{4174541D-E1E9-47B9-8EB3-B92607C33DE2}"/>
    <cellStyle name="Normal 5" xfId="22" xr:uid="{00000000-0005-0000-0000-000013000000}"/>
    <cellStyle name="OPSKRIF" xfId="6" xr:uid="{00000000-0005-0000-0000-000015000000}"/>
    <cellStyle name="or" xfId="9" xr:uid="{00000000-0005-0000-0000-000016000000}"/>
    <cellStyle name="Percent" xfId="7" builtinId="5"/>
  </cellStyles>
  <dxfs count="110">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checked="Checked"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6</xdr:row>
          <xdr:rowOff>95250</xdr:rowOff>
        </xdr:from>
        <xdr:to>
          <xdr:col>2</xdr:col>
          <xdr:colOff>2124075</xdr:colOff>
          <xdr:row>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mzansieng-my.sharepoint.com/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mzansieng-my.sharepoint.com/Users/JACOS/Desktop/ILIFA/DOT%20Projects/CAPEX%20PROJECTS/8-3/700%20Documentation%20and%20Procurement/Tender%20Document/Rev%2011/BOQ%20P8-3%20Seal%20Only%20Rev%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mzansieng-my.sharepoint.com/Users/JACOS/Desktop/ILIFA/DOT%20Projects/Projects%20under%20Area%20Office%20Apointments/Maintenance%20Contracts/New%20Documents/Creighton%20Zone%20-%20ZNQ-4429/Rev%204/Creighton%20Zone%20%20-%20Rev%20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mzansieng-my.sharepoint.com/Users/JACOS/Desktop/ILIFA/DOT%20Projects/CAPEX%20PROJECTS/8-3/700%20Documentation%20and%20Procurement/Tender%20Document/Rev%2012%20-%20COTO/BOQ%20P8-3%20Seal%20Only%20Rev%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refreshError="1"/>
      <sheetData sheetId="1" refreshError="1"/>
      <sheetData sheetId="2" refreshError="1"/>
      <sheetData sheetId="3" refreshError="1"/>
      <sheetData sheetId="4" refreshError="1">
        <row r="11">
          <cell r="C11" t="str">
            <v>CLEARING AND GRUBBING</v>
          </cell>
        </row>
      </sheetData>
      <sheetData sheetId="5" refreshError="1"/>
      <sheetData sheetId="6" refreshError="1">
        <row r="11">
          <cell r="B11" t="str">
            <v>C3.1</v>
          </cell>
          <cell r="C11" t="str">
            <v>DRAINS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H1">
            <v>3558000</v>
          </cell>
          <cell r="K1">
            <v>0</v>
          </cell>
        </row>
      </sheetData>
      <sheetData sheetId="19" refreshError="1"/>
      <sheetData sheetId="20" refreshError="1"/>
      <sheetData sheetId="21" refreshError="1"/>
      <sheetData sheetId="22" refreshError="1">
        <row r="13">
          <cell r="E13">
            <v>92754544.430000007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pageSetUpPr fitToPage="1"/>
  </sheetPr>
  <dimension ref="B2:N69"/>
  <sheetViews>
    <sheetView topLeftCell="A37" zoomScale="90" zoomScaleNormal="90" workbookViewId="0">
      <selection activeCell="C73" sqref="C73"/>
    </sheetView>
  </sheetViews>
  <sheetFormatPr defaultRowHeight="12.75" x14ac:dyDescent="0.2"/>
  <cols>
    <col min="2" max="2" width="18.140625" bestFit="1" customWidth="1"/>
    <col min="3" max="4" width="43.85546875" customWidth="1"/>
    <col min="5" max="5" width="12.28515625" bestFit="1" customWidth="1"/>
  </cols>
  <sheetData>
    <row r="2" spans="2:8" ht="12" customHeight="1" x14ac:dyDescent="0.2">
      <c r="B2" s="84" t="s">
        <v>175</v>
      </c>
      <c r="C2" s="117" t="s">
        <v>9</v>
      </c>
    </row>
    <row r="3" spans="2:8" x14ac:dyDescent="0.2">
      <c r="B3" s="84" t="s">
        <v>176</v>
      </c>
      <c r="C3" s="118" t="s">
        <v>10</v>
      </c>
    </row>
    <row r="4" spans="2:8" x14ac:dyDescent="0.2">
      <c r="C4" s="84"/>
      <c r="H4" s="686"/>
    </row>
    <row r="5" spans="2:8" x14ac:dyDescent="0.2">
      <c r="B5" s="84" t="s">
        <v>313</v>
      </c>
      <c r="C5" s="118" t="s">
        <v>1138</v>
      </c>
      <c r="D5" s="84"/>
      <c r="E5" s="84"/>
      <c r="F5" s="84"/>
      <c r="G5" s="84"/>
      <c r="H5" s="686"/>
    </row>
    <row r="6" spans="2:8" ht="63.75" x14ac:dyDescent="0.2">
      <c r="B6" s="84" t="s">
        <v>314</v>
      </c>
      <c r="C6" s="119" t="s">
        <v>1134</v>
      </c>
      <c r="D6" s="84"/>
      <c r="E6" s="84"/>
      <c r="F6" s="84"/>
      <c r="G6" s="84"/>
      <c r="H6" s="686"/>
    </row>
    <row r="7" spans="2:8" x14ac:dyDescent="0.2">
      <c r="B7" s="84"/>
      <c r="C7" s="84"/>
      <c r="D7" s="84"/>
      <c r="E7" s="84"/>
      <c r="F7" s="84"/>
      <c r="G7" s="84"/>
      <c r="H7" s="686"/>
    </row>
    <row r="8" spans="2:8" x14ac:dyDescent="0.2">
      <c r="C8" t="b">
        <v>1</v>
      </c>
    </row>
    <row r="10" spans="2:8" x14ac:dyDescent="0.2">
      <c r="B10" s="128" t="s">
        <v>378</v>
      </c>
    </row>
    <row r="11" spans="2:8" x14ac:dyDescent="0.2">
      <c r="B11" s="129" t="s">
        <v>379</v>
      </c>
      <c r="C11" s="130">
        <v>39</v>
      </c>
    </row>
    <row r="12" spans="2:8" ht="13.5" thickBot="1" x14ac:dyDescent="0.25"/>
    <row r="13" spans="2:8" ht="13.5" thickBot="1" x14ac:dyDescent="0.25">
      <c r="B13" s="131" t="s">
        <v>380</v>
      </c>
      <c r="C13" s="132">
        <v>36</v>
      </c>
      <c r="D13" s="133" t="s">
        <v>381</v>
      </c>
    </row>
    <row r="14" spans="2:8" ht="13.5" thickBot="1" x14ac:dyDescent="0.25">
      <c r="B14" s="134" t="s">
        <v>382</v>
      </c>
      <c r="C14" s="135" t="s">
        <v>383</v>
      </c>
      <c r="D14" s="135" t="s">
        <v>384</v>
      </c>
      <c r="E14" s="136" t="s">
        <v>385</v>
      </c>
    </row>
    <row r="15" spans="2:8" x14ac:dyDescent="0.2">
      <c r="B15" s="137" t="s">
        <v>1135</v>
      </c>
      <c r="C15" s="138">
        <v>69</v>
      </c>
      <c r="D15" s="139">
        <v>77.959999999999994</v>
      </c>
      <c r="E15" s="140">
        <f>D15-C15</f>
        <v>8.9599999999999937</v>
      </c>
    </row>
    <row r="16" spans="2:8" x14ac:dyDescent="0.2">
      <c r="B16" s="594" t="s">
        <v>1136</v>
      </c>
      <c r="C16" s="595">
        <v>0</v>
      </c>
      <c r="D16" s="596">
        <v>11.5</v>
      </c>
      <c r="E16" s="597">
        <f t="shared" ref="E16:E17" si="0">D16-C16</f>
        <v>11.5</v>
      </c>
    </row>
    <row r="17" spans="2:5" ht="13.5" thickBot="1" x14ac:dyDescent="0.25">
      <c r="B17" s="141" t="s">
        <v>1137</v>
      </c>
      <c r="C17" s="142">
        <v>0</v>
      </c>
      <c r="D17" s="143">
        <v>29.8</v>
      </c>
      <c r="E17" s="144">
        <f t="shared" si="0"/>
        <v>29.8</v>
      </c>
    </row>
    <row r="18" spans="2:5" ht="13.5" thickBot="1" x14ac:dyDescent="0.25">
      <c r="B18" s="145" t="s">
        <v>386</v>
      </c>
      <c r="C18" s="428" t="s">
        <v>387</v>
      </c>
      <c r="D18" s="146" t="s">
        <v>387</v>
      </c>
      <c r="E18" s="147">
        <f>SUM(E15:E17)</f>
        <v>50.259999999999991</v>
      </c>
    </row>
    <row r="19" spans="2:5" ht="13.5" thickBot="1" x14ac:dyDescent="0.25">
      <c r="B19" s="148" t="s">
        <v>388</v>
      </c>
      <c r="C19" s="144">
        <f>IF(C18="P",11,IF(C18="D",6,IF(C18="L",5,"Error")))</f>
        <v>11</v>
      </c>
      <c r="D19" s="146" t="s">
        <v>389</v>
      </c>
    </row>
    <row r="20" spans="2:5" ht="13.5" thickBot="1" x14ac:dyDescent="0.25">
      <c r="D20" s="146" t="s">
        <v>390</v>
      </c>
    </row>
    <row r="21" spans="2:5" ht="13.5" thickBot="1" x14ac:dyDescent="0.25">
      <c r="B21" s="134" t="s">
        <v>391</v>
      </c>
      <c r="C21" s="149">
        <v>0</v>
      </c>
      <c r="D21" s="84" t="s">
        <v>22</v>
      </c>
    </row>
    <row r="24" spans="2:5" x14ac:dyDescent="0.2">
      <c r="B24" s="128" t="s">
        <v>378</v>
      </c>
    </row>
    <row r="25" spans="2:5" x14ac:dyDescent="0.2">
      <c r="B25" s="289" t="s">
        <v>379</v>
      </c>
      <c r="C25" s="419">
        <v>49</v>
      </c>
    </row>
    <row r="26" spans="2:5" x14ac:dyDescent="0.2">
      <c r="B26" s="289" t="s">
        <v>348</v>
      </c>
      <c r="C26" s="130">
        <f>Page_A+2</f>
        <v>51</v>
      </c>
    </row>
    <row r="27" spans="2:5" x14ac:dyDescent="0.2">
      <c r="B27" s="289" t="s">
        <v>340</v>
      </c>
      <c r="C27" s="130">
        <f>Page_E+3</f>
        <v>54</v>
      </c>
    </row>
    <row r="28" spans="2:5" x14ac:dyDescent="0.2">
      <c r="B28" s="289" t="s">
        <v>469</v>
      </c>
      <c r="C28" s="130">
        <f>Page_F+1</f>
        <v>55</v>
      </c>
    </row>
    <row r="35" spans="2:14" x14ac:dyDescent="0.2">
      <c r="B35" s="84" t="s">
        <v>474</v>
      </c>
      <c r="C35" s="296"/>
      <c r="D35">
        <v>37.04</v>
      </c>
    </row>
    <row r="36" spans="2:14" x14ac:dyDescent="0.2">
      <c r="B36" s="84" t="s">
        <v>475</v>
      </c>
      <c r="C36" s="297"/>
    </row>
    <row r="37" spans="2:14" x14ac:dyDescent="0.2">
      <c r="B37" s="84" t="s">
        <v>476</v>
      </c>
      <c r="C37" s="298"/>
    </row>
    <row r="38" spans="2:14" x14ac:dyDescent="0.2">
      <c r="B38" s="300" t="s">
        <v>477</v>
      </c>
      <c r="C38" s="301"/>
      <c r="D38" s="302" t="s">
        <v>478</v>
      </c>
      <c r="E38" s="302" t="s">
        <v>479</v>
      </c>
      <c r="F38" s="302" t="s">
        <v>480</v>
      </c>
      <c r="G38" s="303"/>
      <c r="H38" s="304"/>
      <c r="I38" s="304"/>
      <c r="J38" s="304" t="s">
        <v>481</v>
      </c>
      <c r="K38" s="304"/>
      <c r="L38" s="304"/>
      <c r="M38" s="304"/>
      <c r="N38" s="305"/>
    </row>
    <row r="39" spans="2:14" x14ac:dyDescent="0.2">
      <c r="B39" s="306" t="s">
        <v>482</v>
      </c>
      <c r="C39" s="307"/>
      <c r="D39" s="308"/>
      <c r="E39" s="309"/>
      <c r="F39" s="310" t="s">
        <v>483</v>
      </c>
      <c r="G39" s="306" t="s">
        <v>484</v>
      </c>
      <c r="H39" s="311"/>
      <c r="I39" s="311"/>
      <c r="J39" s="311" t="s">
        <v>485</v>
      </c>
      <c r="K39" s="311"/>
      <c r="L39" s="311"/>
      <c r="M39" s="311"/>
      <c r="N39" s="312"/>
    </row>
    <row r="40" spans="2:14" x14ac:dyDescent="0.2">
      <c r="B40" s="313" t="s">
        <v>486</v>
      </c>
      <c r="C40" s="314"/>
      <c r="D40" s="315"/>
      <c r="E40" s="316"/>
      <c r="F40" s="317"/>
      <c r="G40" s="318"/>
      <c r="H40" s="319"/>
      <c r="I40" s="319"/>
      <c r="J40" s="319"/>
      <c r="K40" s="319"/>
      <c r="L40" s="319"/>
      <c r="M40" s="319"/>
      <c r="N40" s="320"/>
    </row>
    <row r="41" spans="2:14" x14ac:dyDescent="0.2">
      <c r="B41" s="313" t="s">
        <v>487</v>
      </c>
      <c r="C41" s="314"/>
      <c r="D41" s="321" t="s">
        <v>168</v>
      </c>
      <c r="E41" s="299"/>
      <c r="F41" s="322" t="s">
        <v>488</v>
      </c>
      <c r="G41" s="313"/>
      <c r="H41" s="323"/>
      <c r="I41" s="323"/>
      <c r="J41" s="323"/>
      <c r="K41" s="323"/>
      <c r="L41" s="323"/>
      <c r="M41" s="323"/>
      <c r="N41" s="324"/>
    </row>
    <row r="42" spans="2:14" x14ac:dyDescent="0.2">
      <c r="B42" s="313" t="s">
        <v>489</v>
      </c>
      <c r="C42" s="314"/>
      <c r="D42" s="321" t="s">
        <v>168</v>
      </c>
      <c r="E42" s="299"/>
      <c r="F42" s="322" t="s">
        <v>490</v>
      </c>
      <c r="G42" s="313" t="s">
        <v>491</v>
      </c>
      <c r="H42" s="323"/>
      <c r="I42" s="323"/>
      <c r="J42" s="323"/>
      <c r="K42" s="323"/>
      <c r="L42" s="323"/>
      <c r="M42" s="323"/>
      <c r="N42" s="324"/>
    </row>
    <row r="43" spans="2:14" x14ac:dyDescent="0.2">
      <c r="B43" s="325" t="s">
        <v>492</v>
      </c>
      <c r="C43" s="326"/>
      <c r="D43" s="327" t="s">
        <v>181</v>
      </c>
      <c r="E43" s="299"/>
      <c r="F43" s="328" t="s">
        <v>493</v>
      </c>
      <c r="G43" s="325" t="s">
        <v>494</v>
      </c>
      <c r="H43" s="329"/>
      <c r="I43" s="329"/>
      <c r="J43" s="329"/>
      <c r="K43" s="329"/>
      <c r="L43" s="329"/>
      <c r="M43" s="329"/>
      <c r="N43" s="330"/>
    </row>
    <row r="44" spans="2:14" x14ac:dyDescent="0.2">
      <c r="B44" s="313" t="s">
        <v>495</v>
      </c>
      <c r="C44" s="314"/>
      <c r="D44" s="321" t="s">
        <v>496</v>
      </c>
      <c r="E44" s="299"/>
      <c r="F44" s="322" t="s">
        <v>497</v>
      </c>
      <c r="G44" s="313" t="s">
        <v>498</v>
      </c>
      <c r="H44" s="323"/>
      <c r="I44" s="323"/>
      <c r="J44" s="323"/>
      <c r="K44" s="323"/>
      <c r="L44" s="323"/>
      <c r="M44" s="323"/>
      <c r="N44" s="324"/>
    </row>
    <row r="45" spans="2:14" x14ac:dyDescent="0.2">
      <c r="B45" s="313" t="s">
        <v>499</v>
      </c>
      <c r="C45" s="314"/>
      <c r="D45" s="327" t="s">
        <v>181</v>
      </c>
      <c r="E45" s="299"/>
      <c r="F45" s="322" t="s">
        <v>500</v>
      </c>
      <c r="G45" s="313" t="s">
        <v>501</v>
      </c>
      <c r="H45" s="323"/>
      <c r="I45" s="323"/>
      <c r="J45" s="323"/>
      <c r="K45" s="323"/>
      <c r="L45" s="323"/>
      <c r="M45" s="323"/>
      <c r="N45" s="324"/>
    </row>
    <row r="46" spans="2:14" x14ac:dyDescent="0.2">
      <c r="B46" s="313" t="s">
        <v>502</v>
      </c>
      <c r="C46" s="314"/>
      <c r="D46" s="327" t="s">
        <v>181</v>
      </c>
      <c r="E46" s="299"/>
      <c r="F46" s="322" t="s">
        <v>503</v>
      </c>
      <c r="G46" s="313" t="s">
        <v>504</v>
      </c>
      <c r="H46" s="323"/>
      <c r="I46" s="323"/>
      <c r="J46" s="323"/>
      <c r="K46" s="323"/>
      <c r="L46" s="323"/>
      <c r="M46" s="323"/>
      <c r="N46" s="324"/>
    </row>
    <row r="47" spans="2:14" x14ac:dyDescent="0.2">
      <c r="B47" s="313" t="s">
        <v>505</v>
      </c>
      <c r="C47" s="314"/>
      <c r="D47" s="327" t="s">
        <v>181</v>
      </c>
      <c r="E47" s="299"/>
      <c r="F47" s="322" t="s">
        <v>506</v>
      </c>
      <c r="G47" s="313" t="s">
        <v>507</v>
      </c>
      <c r="H47" s="323"/>
      <c r="I47" s="323"/>
      <c r="J47" s="323"/>
      <c r="K47" s="323"/>
      <c r="L47" s="323"/>
      <c r="M47" s="323"/>
      <c r="N47" s="324"/>
    </row>
    <row r="48" spans="2:14" x14ac:dyDescent="0.2">
      <c r="B48" s="313" t="s">
        <v>508</v>
      </c>
      <c r="C48" s="314"/>
      <c r="D48" s="327" t="s">
        <v>181</v>
      </c>
      <c r="E48" s="299"/>
      <c r="F48" s="322" t="s">
        <v>509</v>
      </c>
      <c r="G48" s="313" t="s">
        <v>510</v>
      </c>
      <c r="H48" s="323"/>
      <c r="I48" s="323"/>
      <c r="J48" s="323"/>
      <c r="K48" s="323"/>
      <c r="L48" s="323"/>
      <c r="M48" s="323"/>
      <c r="N48" s="324"/>
    </row>
    <row r="49" spans="2:14" x14ac:dyDescent="0.2">
      <c r="B49" s="313" t="s">
        <v>137</v>
      </c>
      <c r="C49" s="314"/>
      <c r="D49" s="321" t="s">
        <v>496</v>
      </c>
      <c r="E49" s="299"/>
      <c r="F49" s="322" t="s">
        <v>511</v>
      </c>
      <c r="G49" s="313" t="s">
        <v>512</v>
      </c>
      <c r="H49" s="319"/>
      <c r="I49" s="319"/>
      <c r="J49" s="319"/>
      <c r="K49" s="319"/>
      <c r="L49" s="319"/>
      <c r="M49" s="319"/>
      <c r="N49" s="320"/>
    </row>
    <row r="50" spans="2:14" x14ac:dyDescent="0.2">
      <c r="B50" s="313" t="s">
        <v>399</v>
      </c>
      <c r="C50" s="314"/>
      <c r="D50" s="321" t="s">
        <v>496</v>
      </c>
      <c r="E50" s="299"/>
      <c r="F50" s="322" t="s">
        <v>513</v>
      </c>
      <c r="G50" s="313" t="s">
        <v>514</v>
      </c>
      <c r="H50" s="319"/>
      <c r="I50" s="319"/>
      <c r="J50" s="319"/>
      <c r="K50" s="319"/>
      <c r="L50" s="319"/>
      <c r="M50" s="319"/>
      <c r="N50" s="320"/>
    </row>
    <row r="51" spans="2:14" x14ac:dyDescent="0.2">
      <c r="B51" s="313" t="s">
        <v>515</v>
      </c>
      <c r="C51" s="314"/>
      <c r="D51" s="321" t="s">
        <v>21</v>
      </c>
      <c r="E51" s="299"/>
      <c r="F51" s="322" t="s">
        <v>516</v>
      </c>
      <c r="G51" s="313" t="s">
        <v>517</v>
      </c>
      <c r="H51" s="319"/>
      <c r="I51" s="319"/>
      <c r="J51" s="319"/>
      <c r="K51" s="319"/>
      <c r="L51" s="319"/>
      <c r="M51" s="319"/>
      <c r="N51" s="320"/>
    </row>
    <row r="52" spans="2:14" x14ac:dyDescent="0.2">
      <c r="B52" s="313" t="s">
        <v>518</v>
      </c>
      <c r="C52" s="314"/>
      <c r="D52" s="327" t="s">
        <v>181</v>
      </c>
      <c r="E52" s="299"/>
      <c r="F52" s="322" t="s">
        <v>519</v>
      </c>
      <c r="G52" s="313" t="s">
        <v>520</v>
      </c>
      <c r="H52" s="319"/>
      <c r="I52" s="319"/>
      <c r="J52" s="319"/>
      <c r="K52" s="319"/>
      <c r="L52" s="319"/>
      <c r="M52" s="319"/>
      <c r="N52" s="320"/>
    </row>
    <row r="53" spans="2:14" x14ac:dyDescent="0.2">
      <c r="B53" s="313" t="s">
        <v>521</v>
      </c>
      <c r="C53" s="314"/>
      <c r="D53" s="321" t="s">
        <v>496</v>
      </c>
      <c r="E53" s="299"/>
      <c r="F53" s="322" t="s">
        <v>522</v>
      </c>
      <c r="G53" s="313" t="s">
        <v>523</v>
      </c>
      <c r="H53" s="319"/>
      <c r="I53" s="319"/>
      <c r="J53" s="319"/>
      <c r="K53" s="319"/>
      <c r="L53" s="319"/>
      <c r="M53" s="319"/>
      <c r="N53" s="320"/>
    </row>
    <row r="54" spans="2:14" x14ac:dyDescent="0.2">
      <c r="B54" s="313" t="s">
        <v>524</v>
      </c>
      <c r="C54" s="314"/>
      <c r="D54" s="321" t="s">
        <v>24</v>
      </c>
      <c r="E54" s="299"/>
      <c r="F54" s="322" t="s">
        <v>525</v>
      </c>
      <c r="G54" s="313" t="s">
        <v>526</v>
      </c>
      <c r="H54" s="319"/>
      <c r="I54" s="319"/>
      <c r="J54" s="319"/>
      <c r="K54" s="319"/>
      <c r="L54" s="319"/>
      <c r="M54" s="319"/>
      <c r="N54" s="320"/>
    </row>
    <row r="55" spans="2:14" x14ac:dyDescent="0.2">
      <c r="B55" s="313" t="s">
        <v>527</v>
      </c>
      <c r="C55" s="314"/>
      <c r="D55" s="331" t="s">
        <v>256</v>
      </c>
      <c r="E55" s="299"/>
      <c r="F55" s="322" t="s">
        <v>528</v>
      </c>
      <c r="G55" s="313" t="s">
        <v>529</v>
      </c>
      <c r="H55" s="319"/>
      <c r="I55" s="319"/>
      <c r="J55" s="319"/>
      <c r="K55" s="319"/>
      <c r="L55" s="319"/>
      <c r="M55" s="319"/>
      <c r="N55" s="320"/>
    </row>
    <row r="56" spans="2:14" x14ac:dyDescent="0.2">
      <c r="B56" s="313" t="s">
        <v>530</v>
      </c>
      <c r="C56" s="314"/>
      <c r="D56" s="321" t="s">
        <v>256</v>
      </c>
      <c r="E56" s="299"/>
      <c r="F56" s="322" t="s">
        <v>531</v>
      </c>
      <c r="G56" s="313" t="s">
        <v>532</v>
      </c>
      <c r="H56" s="319"/>
      <c r="I56" s="319"/>
      <c r="J56" s="319"/>
      <c r="K56" s="319"/>
      <c r="L56" s="319"/>
      <c r="M56" s="319"/>
      <c r="N56" s="320"/>
    </row>
    <row r="57" spans="2:14" x14ac:dyDescent="0.2">
      <c r="B57" s="313" t="s">
        <v>533</v>
      </c>
      <c r="C57" s="314"/>
      <c r="D57" s="321" t="s">
        <v>6</v>
      </c>
      <c r="E57" s="299"/>
      <c r="F57" s="322" t="s">
        <v>534</v>
      </c>
      <c r="G57" s="313" t="s">
        <v>535</v>
      </c>
      <c r="H57" s="319"/>
      <c r="I57" s="319"/>
      <c r="J57" s="319"/>
      <c r="K57" s="319"/>
      <c r="L57" s="319"/>
      <c r="M57" s="319"/>
      <c r="N57" s="320"/>
    </row>
    <row r="58" spans="2:14" x14ac:dyDescent="0.2">
      <c r="B58" s="313" t="s">
        <v>536</v>
      </c>
      <c r="C58" s="314"/>
      <c r="D58" s="321" t="s">
        <v>6</v>
      </c>
      <c r="E58" s="299"/>
      <c r="F58" s="322" t="s">
        <v>537</v>
      </c>
      <c r="G58" s="313" t="s">
        <v>538</v>
      </c>
      <c r="H58" s="319"/>
      <c r="I58" s="319"/>
      <c r="J58" s="319"/>
      <c r="K58" s="319"/>
      <c r="L58" s="319"/>
      <c r="M58" s="319"/>
      <c r="N58" s="320"/>
    </row>
    <row r="59" spans="2:14" x14ac:dyDescent="0.2">
      <c r="B59" s="313" t="s">
        <v>539</v>
      </c>
      <c r="C59" s="314"/>
      <c r="D59" s="321" t="s">
        <v>6</v>
      </c>
      <c r="E59" s="299"/>
      <c r="F59" s="322" t="s">
        <v>540</v>
      </c>
      <c r="G59" s="313" t="s">
        <v>541</v>
      </c>
      <c r="H59" s="319"/>
      <c r="I59" s="319"/>
      <c r="J59" s="319"/>
      <c r="K59" s="319"/>
      <c r="L59" s="319"/>
      <c r="M59" s="319"/>
      <c r="N59" s="320"/>
    </row>
    <row r="60" spans="2:14" x14ac:dyDescent="0.2">
      <c r="B60" s="313" t="s">
        <v>542</v>
      </c>
      <c r="C60" s="314"/>
      <c r="D60" s="321" t="s">
        <v>6</v>
      </c>
      <c r="E60" s="299"/>
      <c r="F60" s="322" t="s">
        <v>543</v>
      </c>
      <c r="G60" s="313" t="s">
        <v>544</v>
      </c>
      <c r="H60" s="319"/>
      <c r="I60" s="319"/>
      <c r="J60" s="319"/>
      <c r="K60" s="319"/>
      <c r="L60" s="319"/>
      <c r="M60" s="319"/>
      <c r="N60" s="320"/>
    </row>
    <row r="61" spans="2:14" x14ac:dyDescent="0.2">
      <c r="B61" s="313" t="s">
        <v>545</v>
      </c>
      <c r="C61" s="314"/>
      <c r="D61" s="331" t="s">
        <v>181</v>
      </c>
      <c r="E61" s="299"/>
      <c r="F61" s="322" t="s">
        <v>546</v>
      </c>
      <c r="G61" s="313" t="s">
        <v>547</v>
      </c>
      <c r="H61" s="319"/>
      <c r="I61" s="319"/>
      <c r="J61" s="319"/>
      <c r="K61" s="319"/>
      <c r="L61" s="319"/>
      <c r="M61" s="319"/>
      <c r="N61" s="320"/>
    </row>
    <row r="62" spans="2:14" x14ac:dyDescent="0.2">
      <c r="B62" s="313" t="s">
        <v>548</v>
      </c>
      <c r="C62" s="314"/>
      <c r="D62" s="321" t="s">
        <v>549</v>
      </c>
      <c r="E62" s="299"/>
      <c r="F62" s="322" t="s">
        <v>550</v>
      </c>
      <c r="G62" s="313" t="s">
        <v>551</v>
      </c>
      <c r="H62" s="319"/>
      <c r="I62" s="319"/>
      <c r="J62" s="319"/>
      <c r="K62" s="319"/>
      <c r="L62" s="319"/>
      <c r="M62" s="319"/>
      <c r="N62" s="320"/>
    </row>
    <row r="63" spans="2:14" x14ac:dyDescent="0.2">
      <c r="B63" s="313" t="s">
        <v>552</v>
      </c>
      <c r="C63" s="314"/>
      <c r="D63" s="321" t="s">
        <v>6</v>
      </c>
      <c r="E63" s="299"/>
      <c r="F63" s="322" t="s">
        <v>553</v>
      </c>
      <c r="G63" s="313" t="s">
        <v>554</v>
      </c>
      <c r="H63" s="319"/>
      <c r="I63" s="319"/>
      <c r="J63" s="319"/>
      <c r="K63" s="319"/>
      <c r="L63" s="319"/>
      <c r="M63" s="319"/>
      <c r="N63" s="320"/>
    </row>
    <row r="64" spans="2:14" x14ac:dyDescent="0.2">
      <c r="B64" s="313" t="s">
        <v>555</v>
      </c>
      <c r="C64" s="314"/>
      <c r="D64" s="321" t="s">
        <v>549</v>
      </c>
      <c r="E64" s="299"/>
      <c r="F64" s="322" t="s">
        <v>556</v>
      </c>
      <c r="G64" s="313" t="s">
        <v>557</v>
      </c>
      <c r="H64" s="319"/>
      <c r="I64" s="319"/>
      <c r="J64" s="319"/>
      <c r="K64" s="319"/>
      <c r="L64" s="319"/>
      <c r="M64" s="319"/>
      <c r="N64" s="320"/>
    </row>
    <row r="65" spans="2:14" x14ac:dyDescent="0.2">
      <c r="B65" s="313"/>
      <c r="C65" s="314"/>
      <c r="D65" s="321"/>
      <c r="E65" s="299"/>
      <c r="F65" s="322"/>
      <c r="G65" s="313"/>
      <c r="H65" s="319"/>
      <c r="I65" s="319"/>
      <c r="J65" s="319"/>
      <c r="K65" s="319"/>
      <c r="L65" s="319"/>
      <c r="M65" s="319"/>
      <c r="N65" s="320"/>
    </row>
    <row r="66" spans="2:14" x14ac:dyDescent="0.2">
      <c r="B66" s="313"/>
      <c r="C66" s="314"/>
      <c r="D66" s="331"/>
      <c r="E66" s="299"/>
      <c r="F66" s="322"/>
      <c r="G66" s="313"/>
      <c r="H66" s="319"/>
      <c r="I66" s="319"/>
      <c r="J66" s="319"/>
      <c r="K66" s="319"/>
      <c r="L66" s="319"/>
      <c r="M66" s="319"/>
      <c r="N66" s="320"/>
    </row>
    <row r="67" spans="2:14" x14ac:dyDescent="0.2">
      <c r="B67" s="313"/>
      <c r="C67" s="314"/>
      <c r="D67" s="331"/>
      <c r="E67" s="299"/>
      <c r="F67" s="322"/>
      <c r="G67" s="313"/>
      <c r="H67" s="319"/>
      <c r="I67" s="319"/>
      <c r="J67" s="319"/>
      <c r="K67" s="319"/>
      <c r="L67" s="319"/>
      <c r="M67" s="319"/>
      <c r="N67" s="320"/>
    </row>
    <row r="68" spans="2:14" x14ac:dyDescent="0.2">
      <c r="B68" s="313"/>
      <c r="C68" s="314"/>
      <c r="D68" s="331"/>
      <c r="E68" s="299"/>
      <c r="F68" s="322"/>
      <c r="G68" s="313"/>
      <c r="H68" s="319"/>
      <c r="I68" s="319"/>
      <c r="J68" s="319"/>
      <c r="K68" s="319"/>
      <c r="L68" s="319"/>
      <c r="M68" s="319"/>
      <c r="N68" s="320"/>
    </row>
    <row r="69" spans="2:14" x14ac:dyDescent="0.2">
      <c r="B69" s="325"/>
      <c r="C69" s="326"/>
      <c r="D69" s="332"/>
      <c r="E69" s="333"/>
      <c r="F69" s="334"/>
      <c r="G69" s="335"/>
      <c r="H69" s="336"/>
      <c r="I69" s="336"/>
      <c r="J69" s="336"/>
      <c r="K69" s="336"/>
      <c r="L69" s="336"/>
      <c r="M69" s="336"/>
      <c r="N69" s="337"/>
    </row>
  </sheetData>
  <mergeCells count="1">
    <mergeCell ref="H4:H7"/>
  </mergeCells>
  <dataValidations count="1">
    <dataValidation type="list" allowBlank="1" showInputMessage="1" showErrorMessage="1" sqref="C18" xr:uid="{4A568923-4304-4125-A5A7-DB12E35D5EA8}">
      <formula1>$D$18:$D$20</formula1>
    </dataValidation>
  </dataValidations>
  <pageMargins left="0.70866141732283472" right="0.70866141732283472" top="0.74803149606299213" bottom="0.74803149606299213" header="0.31496062992125984" footer="0.31496062992125984"/>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790575</xdr:colOff>
                    <xdr:row>6</xdr:row>
                    <xdr:rowOff>95250</xdr:rowOff>
                  </from>
                  <to>
                    <xdr:col>2</xdr:col>
                    <xdr:colOff>2124075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tabColor rgb="FF00B050"/>
    <pageSetUpPr fitToPage="1"/>
  </sheetPr>
  <dimension ref="B1:N115"/>
  <sheetViews>
    <sheetView tabSelected="1" view="pageBreakPreview" topLeftCell="A56" zoomScale="85" zoomScaleNormal="85" zoomScaleSheetLayoutView="85" workbookViewId="0">
      <selection activeCell="F33" sqref="F33"/>
    </sheetView>
  </sheetViews>
  <sheetFormatPr defaultColWidth="6.85546875" defaultRowHeight="12.75" x14ac:dyDescent="0.2"/>
  <cols>
    <col min="1" max="1" width="0.85546875" style="1" customWidth="1"/>
    <col min="2" max="2" width="11.5703125" style="70" customWidth="1"/>
    <col min="3" max="3" width="45.5703125" style="3" customWidth="1"/>
    <col min="4" max="4" width="13.5703125" style="4" customWidth="1"/>
    <col min="5" max="5" width="15.5703125" style="4" customWidth="1"/>
    <col min="6" max="6" width="15.5703125" style="508" customWidth="1"/>
    <col min="7" max="7" width="15.5703125" style="5" customWidth="1"/>
    <col min="8" max="8" width="0.85546875" style="5" customWidth="1"/>
    <col min="9" max="9" width="6.85546875" style="1"/>
    <col min="10" max="13" width="15.5703125" style="1" customWidth="1"/>
    <col min="14" max="16384" width="6.85546875" style="1"/>
  </cols>
  <sheetData>
    <row r="1" spans="2:13" x14ac:dyDescent="0.2">
      <c r="G1" s="166">
        <f>MAX(G9:G494)</f>
        <v>300000</v>
      </c>
    </row>
    <row r="2" spans="2:13" ht="18" customHeight="1" x14ac:dyDescent="0.2">
      <c r="B2" s="689" t="str">
        <f>Client1</f>
        <v>Province of KwaZulu-Natal</v>
      </c>
      <c r="C2" s="689"/>
      <c r="D2" s="689"/>
      <c r="E2" s="687" t="str">
        <f>"Contract No. "&amp;ContractNo</f>
        <v>Contract No. ZNB02287/00000/00/MET/INF/24/T</v>
      </c>
      <c r="F2" s="687"/>
      <c r="G2" s="687"/>
      <c r="J2" s="293"/>
      <c r="K2" s="293">
        <f>MAX(K3:K239)</f>
        <v>0</v>
      </c>
      <c r="L2" s="293"/>
      <c r="M2" s="294"/>
    </row>
    <row r="3" spans="2:13" ht="17.25" customHeight="1" x14ac:dyDescent="0.2">
      <c r="B3" s="689" t="str">
        <f>Client2</f>
        <v>Department of Transport</v>
      </c>
      <c r="C3" s="689"/>
      <c r="D3" s="689"/>
      <c r="E3" s="687"/>
      <c r="F3" s="687"/>
      <c r="G3" s="687"/>
      <c r="J3" s="295" t="s">
        <v>470</v>
      </c>
      <c r="K3" s="295" t="s">
        <v>471</v>
      </c>
      <c r="L3" s="295" t="s">
        <v>472</v>
      </c>
      <c r="M3" s="295" t="s">
        <v>473</v>
      </c>
    </row>
    <row r="4" spans="2:13" x14ac:dyDescent="0.2">
      <c r="B4" s="690"/>
      <c r="C4" s="690"/>
      <c r="D4" s="690"/>
      <c r="E4" s="688"/>
      <c r="F4" s="688"/>
      <c r="G4" s="688"/>
    </row>
    <row r="5" spans="2:13" x14ac:dyDescent="0.2">
      <c r="B5" s="698" t="s">
        <v>8</v>
      </c>
      <c r="C5" s="699"/>
      <c r="D5" s="699"/>
      <c r="E5" s="699"/>
      <c r="F5" s="699"/>
      <c r="G5" s="695" t="str">
        <f>"CHAPTER "&amp;B11</f>
        <v>CHAPTER C1.2</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68" t="s">
        <v>0</v>
      </c>
      <c r="C9" s="11" t="s">
        <v>1</v>
      </c>
      <c r="D9" s="11" t="s">
        <v>2</v>
      </c>
      <c r="E9" s="11" t="s">
        <v>3</v>
      </c>
      <c r="F9" s="509" t="s">
        <v>4</v>
      </c>
      <c r="G9" s="11" t="s">
        <v>5</v>
      </c>
      <c r="H9" s="12"/>
      <c r="J9" s="11"/>
      <c r="K9" s="11"/>
      <c r="L9" s="11"/>
      <c r="M9" s="11"/>
    </row>
    <row r="10" spans="2:13" x14ac:dyDescent="0.2">
      <c r="B10" s="51"/>
      <c r="C10" s="14"/>
      <c r="D10" s="15"/>
      <c r="E10" s="15"/>
      <c r="F10" s="510"/>
      <c r="G10" s="25" t="str">
        <f t="shared" ref="G10:G25" si="0">IF(D10="","",E10*F10)</f>
        <v/>
      </c>
      <c r="H10" s="18"/>
      <c r="J10" s="16"/>
      <c r="K10" s="16"/>
      <c r="L10" s="16"/>
      <c r="M10" s="16"/>
    </row>
    <row r="11" spans="2:13" x14ac:dyDescent="0.2">
      <c r="B11" s="67" t="s">
        <v>16</v>
      </c>
      <c r="C11" s="20" t="s">
        <v>13</v>
      </c>
      <c r="D11" s="22"/>
      <c r="E11" s="22"/>
      <c r="F11" s="510"/>
      <c r="G11" s="25" t="str">
        <f t="shared" si="0"/>
        <v/>
      </c>
      <c r="H11" s="42"/>
      <c r="J11" s="41"/>
      <c r="K11" s="41"/>
      <c r="L11" s="41"/>
      <c r="M11" s="41"/>
    </row>
    <row r="12" spans="2:13" x14ac:dyDescent="0.2">
      <c r="B12" s="51"/>
      <c r="C12" s="14"/>
      <c r="D12" s="22"/>
      <c r="E12" s="23"/>
      <c r="F12" s="510"/>
      <c r="G12" s="25" t="str">
        <f t="shared" si="0"/>
        <v/>
      </c>
      <c r="H12" s="42"/>
      <c r="J12" s="40"/>
      <c r="K12" s="40"/>
      <c r="L12" s="40"/>
      <c r="M12" s="40"/>
    </row>
    <row r="13" spans="2:13" s="30" customFormat="1" x14ac:dyDescent="0.2">
      <c r="B13" s="67" t="s">
        <v>14</v>
      </c>
      <c r="C13" s="20" t="s">
        <v>15</v>
      </c>
      <c r="D13" s="429"/>
      <c r="E13" s="430"/>
      <c r="F13" s="511"/>
      <c r="G13" s="432" t="str">
        <f t="shared" si="0"/>
        <v/>
      </c>
      <c r="H13" s="433"/>
      <c r="J13" s="434"/>
      <c r="K13" s="434"/>
      <c r="L13" s="434"/>
      <c r="M13" s="434"/>
    </row>
    <row r="14" spans="2:13" x14ac:dyDescent="0.2">
      <c r="B14" s="51"/>
      <c r="C14" s="27"/>
      <c r="D14" s="39"/>
      <c r="E14" s="152"/>
      <c r="F14" s="510"/>
      <c r="G14" s="25" t="str">
        <f t="shared" si="0"/>
        <v/>
      </c>
      <c r="J14" s="46"/>
      <c r="K14" s="46"/>
      <c r="L14" s="46"/>
      <c r="M14" s="46"/>
    </row>
    <row r="15" spans="2:13" x14ac:dyDescent="0.2">
      <c r="B15" s="51" t="s">
        <v>692</v>
      </c>
      <c r="C15" s="28" t="s">
        <v>694</v>
      </c>
      <c r="D15" s="22" t="s">
        <v>11</v>
      </c>
      <c r="E15" s="152">
        <v>1</v>
      </c>
      <c r="F15" s="510"/>
      <c r="G15" s="25">
        <f t="shared" si="0"/>
        <v>0</v>
      </c>
      <c r="J15" s="46"/>
      <c r="K15" s="46"/>
      <c r="L15" s="46"/>
      <c r="M15" s="46"/>
    </row>
    <row r="16" spans="2:13" x14ac:dyDescent="0.2">
      <c r="B16" s="51"/>
      <c r="C16" s="14"/>
      <c r="D16" s="22"/>
      <c r="E16" s="152"/>
      <c r="F16" s="510"/>
      <c r="G16" s="25" t="str">
        <f t="shared" si="0"/>
        <v/>
      </c>
      <c r="H16" s="150"/>
      <c r="J16" s="46"/>
      <c r="K16" s="46"/>
      <c r="L16" s="46"/>
      <c r="M16" s="46"/>
    </row>
    <row r="17" spans="2:14" x14ac:dyDescent="0.2">
      <c r="B17" s="51" t="s">
        <v>18</v>
      </c>
      <c r="C17" s="14" t="s">
        <v>693</v>
      </c>
      <c r="D17" s="22" t="s">
        <v>17</v>
      </c>
      <c r="E17" s="152">
        <f>_Duration</f>
        <v>36</v>
      </c>
      <c r="F17" s="510"/>
      <c r="G17" s="25">
        <f t="shared" si="0"/>
        <v>0</v>
      </c>
      <c r="H17" s="153"/>
      <c r="J17" s="49"/>
      <c r="K17" s="49"/>
      <c r="L17" s="49"/>
      <c r="M17" s="49"/>
    </row>
    <row r="18" spans="2:14" x14ac:dyDescent="0.2">
      <c r="B18" s="51"/>
      <c r="C18" s="14"/>
      <c r="D18" s="22"/>
      <c r="E18" s="152"/>
      <c r="F18" s="510"/>
      <c r="G18" s="25" t="str">
        <f t="shared" si="0"/>
        <v/>
      </c>
      <c r="H18" s="150"/>
      <c r="J18" s="49"/>
      <c r="K18" s="49"/>
      <c r="L18" s="49"/>
      <c r="M18" s="49"/>
    </row>
    <row r="19" spans="2:14" ht="25.5" x14ac:dyDescent="0.2">
      <c r="B19" s="51" t="s">
        <v>19</v>
      </c>
      <c r="C19" s="14" t="s">
        <v>20</v>
      </c>
      <c r="D19" s="22" t="s">
        <v>17</v>
      </c>
      <c r="E19" s="152">
        <f>_Duration</f>
        <v>36</v>
      </c>
      <c r="F19" s="510"/>
      <c r="G19" s="25">
        <f t="shared" si="0"/>
        <v>0</v>
      </c>
      <c r="H19" s="150"/>
      <c r="J19" s="49"/>
      <c r="K19" s="49"/>
      <c r="L19" s="49"/>
      <c r="M19" s="49"/>
    </row>
    <row r="20" spans="2:14" x14ac:dyDescent="0.2">
      <c r="B20" s="51"/>
      <c r="C20" s="14"/>
      <c r="D20" s="15"/>
      <c r="E20" s="26"/>
      <c r="F20" s="510"/>
      <c r="G20" s="25" t="str">
        <f t="shared" si="0"/>
        <v/>
      </c>
      <c r="H20" s="18"/>
      <c r="J20" s="29"/>
      <c r="K20" s="29"/>
      <c r="L20" s="29"/>
      <c r="M20" s="29"/>
    </row>
    <row r="21" spans="2:14" x14ac:dyDescent="0.2">
      <c r="B21" s="67" t="s">
        <v>559</v>
      </c>
      <c r="C21" s="20" t="s">
        <v>560</v>
      </c>
      <c r="D21" s="22"/>
      <c r="E21" s="22"/>
      <c r="F21" s="510"/>
      <c r="G21" s="25" t="str">
        <f t="shared" si="0"/>
        <v/>
      </c>
      <c r="H21" s="18"/>
      <c r="J21" s="40"/>
      <c r="K21" s="40"/>
      <c r="L21" s="40"/>
      <c r="M21" s="40"/>
    </row>
    <row r="22" spans="2:14" s="38" customFormat="1" x14ac:dyDescent="0.2">
      <c r="B22" s="51"/>
      <c r="C22" s="14"/>
      <c r="D22" s="22"/>
      <c r="E22" s="22"/>
      <c r="F22" s="510"/>
      <c r="G22" s="25" t="str">
        <f t="shared" si="0"/>
        <v/>
      </c>
      <c r="H22" s="18"/>
      <c r="J22" s="40"/>
      <c r="K22" s="40"/>
      <c r="L22" s="40"/>
      <c r="M22" s="40"/>
    </row>
    <row r="23" spans="2:14" ht="25.5" x14ac:dyDescent="0.2">
      <c r="B23" s="51" t="s">
        <v>558</v>
      </c>
      <c r="C23" s="14" t="s">
        <v>561</v>
      </c>
      <c r="D23" s="22" t="s">
        <v>170</v>
      </c>
      <c r="E23" s="349">
        <v>300000</v>
      </c>
      <c r="F23" s="510">
        <v>1</v>
      </c>
      <c r="G23" s="25">
        <f t="shared" si="0"/>
        <v>300000</v>
      </c>
      <c r="H23" s="43"/>
      <c r="J23" s="40"/>
      <c r="K23" s="40"/>
      <c r="L23" s="40"/>
      <c r="M23" s="40"/>
    </row>
    <row r="24" spans="2:14" x14ac:dyDescent="0.2">
      <c r="B24" s="51"/>
      <c r="C24" s="14"/>
      <c r="D24" s="22"/>
      <c r="E24" s="22"/>
      <c r="F24" s="510"/>
      <c r="G24" s="25" t="str">
        <f t="shared" si="0"/>
        <v/>
      </c>
      <c r="H24" s="43"/>
      <c r="J24" s="40"/>
      <c r="K24" s="40"/>
      <c r="L24" s="40"/>
      <c r="M24" s="40"/>
      <c r="N24" s="1" t="s">
        <v>392</v>
      </c>
    </row>
    <row r="25" spans="2:14" ht="25.5" x14ac:dyDescent="0.2">
      <c r="B25" s="51"/>
      <c r="C25" s="14" t="s">
        <v>562</v>
      </c>
      <c r="D25" s="22" t="s">
        <v>25</v>
      </c>
      <c r="E25" s="349">
        <f>G23</f>
        <v>300000</v>
      </c>
      <c r="F25" s="510"/>
      <c r="G25" s="25">
        <f t="shared" si="0"/>
        <v>0</v>
      </c>
      <c r="H25" s="42"/>
      <c r="J25" s="40"/>
      <c r="K25" s="40"/>
      <c r="L25" s="40"/>
      <c r="M25" s="40"/>
    </row>
    <row r="26" spans="2:14" x14ac:dyDescent="0.2">
      <c r="B26" s="51"/>
      <c r="C26" s="14"/>
      <c r="D26" s="22"/>
      <c r="E26" s="22"/>
      <c r="F26" s="510"/>
      <c r="G26" s="25"/>
      <c r="H26" s="42"/>
      <c r="J26" s="40"/>
      <c r="K26" s="40"/>
      <c r="L26" s="40"/>
      <c r="M26" s="40"/>
    </row>
    <row r="27" spans="2:14" ht="25.5" hidden="1" x14ac:dyDescent="0.2">
      <c r="B27" s="51" t="s">
        <v>563</v>
      </c>
      <c r="C27" s="14" t="s">
        <v>564</v>
      </c>
      <c r="D27" s="22"/>
      <c r="E27" s="22"/>
      <c r="F27" s="510"/>
      <c r="G27" s="25"/>
      <c r="H27" s="42"/>
      <c r="J27" s="40"/>
      <c r="K27" s="40"/>
      <c r="L27" s="40"/>
      <c r="M27" s="40"/>
    </row>
    <row r="28" spans="2:14" hidden="1" x14ac:dyDescent="0.2">
      <c r="B28" s="51"/>
      <c r="C28" s="14"/>
      <c r="D28" s="22"/>
      <c r="E28" s="22"/>
      <c r="F28" s="510"/>
      <c r="G28" s="25" t="str">
        <f>IF(D28="","",E28*F28)</f>
        <v/>
      </c>
      <c r="H28" s="42"/>
      <c r="J28" s="40"/>
      <c r="K28" s="40"/>
      <c r="L28" s="40"/>
      <c r="M28" s="40"/>
    </row>
    <row r="29" spans="2:14" hidden="1" x14ac:dyDescent="0.2">
      <c r="B29" s="51"/>
      <c r="C29" s="14" t="s">
        <v>565</v>
      </c>
      <c r="D29" s="22" t="s">
        <v>170</v>
      </c>
      <c r="E29" s="349">
        <v>100000</v>
      </c>
      <c r="F29" s="510"/>
      <c r="G29" s="25">
        <f>IF(D29="","",E29*F29)</f>
        <v>0</v>
      </c>
      <c r="H29" s="42"/>
      <c r="J29" s="40"/>
      <c r="K29" s="40"/>
      <c r="L29" s="40"/>
      <c r="M29" s="40"/>
    </row>
    <row r="30" spans="2:14" hidden="1" x14ac:dyDescent="0.2">
      <c r="B30" s="51"/>
      <c r="C30" s="14"/>
      <c r="D30" s="22"/>
      <c r="E30" s="22"/>
      <c r="F30" s="510"/>
      <c r="G30" s="25"/>
      <c r="H30" s="42"/>
      <c r="J30" s="40"/>
      <c r="K30" s="40"/>
      <c r="L30" s="40"/>
      <c r="M30" s="40"/>
    </row>
    <row r="31" spans="2:14" ht="25.5" hidden="1" x14ac:dyDescent="0.2">
      <c r="B31" s="51"/>
      <c r="C31" s="14" t="s">
        <v>566</v>
      </c>
      <c r="D31" s="22" t="s">
        <v>25</v>
      </c>
      <c r="E31" s="349">
        <f>G29</f>
        <v>0</v>
      </c>
      <c r="F31" s="510"/>
      <c r="G31" s="25">
        <f>IF(D31="","",E31*F31)</f>
        <v>0</v>
      </c>
      <c r="H31" s="42"/>
      <c r="J31" s="40"/>
      <c r="K31" s="40"/>
      <c r="L31" s="40"/>
      <c r="M31" s="40"/>
    </row>
    <row r="32" spans="2:14" x14ac:dyDescent="0.2">
      <c r="B32" s="51"/>
      <c r="C32" s="14"/>
      <c r="D32" s="22"/>
      <c r="E32" s="349"/>
      <c r="F32" s="510"/>
      <c r="G32" s="25" t="str">
        <f t="shared" ref="G32:G41" si="1">IF(D32="","",E32*F32)</f>
        <v/>
      </c>
      <c r="H32" s="42"/>
      <c r="J32" s="40"/>
      <c r="K32" s="40"/>
      <c r="L32" s="40"/>
      <c r="M32" s="40"/>
    </row>
    <row r="33" spans="2:13" s="30" customFormat="1" ht="53.45" customHeight="1" x14ac:dyDescent="0.2">
      <c r="B33" s="438" t="s">
        <v>572</v>
      </c>
      <c r="C33" s="435" t="s">
        <v>738</v>
      </c>
      <c r="D33" s="429"/>
      <c r="E33" s="436"/>
      <c r="F33" s="511"/>
      <c r="G33" s="25" t="str">
        <f t="shared" si="1"/>
        <v/>
      </c>
      <c r="H33" s="433"/>
      <c r="J33" s="437"/>
      <c r="K33" s="437"/>
      <c r="L33" s="437"/>
      <c r="M33" s="437"/>
    </row>
    <row r="34" spans="2:13" ht="14.1" customHeight="1" x14ac:dyDescent="0.2">
      <c r="B34" s="51"/>
      <c r="C34" s="14"/>
      <c r="D34" s="22"/>
      <c r="E34" s="349"/>
      <c r="F34" s="510"/>
      <c r="G34" s="25" t="str">
        <f t="shared" si="1"/>
        <v/>
      </c>
      <c r="H34" s="42"/>
      <c r="J34" s="40"/>
      <c r="K34" s="40"/>
      <c r="L34" s="40"/>
      <c r="M34" s="40"/>
    </row>
    <row r="35" spans="2:13" ht="14.1" customHeight="1" x14ac:dyDescent="0.2">
      <c r="B35" s="439" t="s">
        <v>573</v>
      </c>
      <c r="C35" s="84" t="s">
        <v>740</v>
      </c>
      <c r="D35" s="22" t="s">
        <v>21</v>
      </c>
      <c r="E35" s="349">
        <v>1600</v>
      </c>
      <c r="F35" s="585"/>
      <c r="G35" s="383">
        <f t="shared" si="1"/>
        <v>0</v>
      </c>
      <c r="H35" s="42"/>
      <c r="J35" s="40"/>
      <c r="K35" s="40"/>
      <c r="L35" s="40"/>
      <c r="M35" s="40"/>
    </row>
    <row r="36" spans="2:13" ht="14.1" customHeight="1" x14ac:dyDescent="0.2">
      <c r="B36" s="51"/>
      <c r="C36" s="14"/>
      <c r="D36" s="22"/>
      <c r="E36" s="349"/>
      <c r="F36" s="585"/>
      <c r="G36" s="383" t="str">
        <f t="shared" si="1"/>
        <v/>
      </c>
      <c r="H36" s="42"/>
      <c r="J36" s="40"/>
      <c r="K36" s="40"/>
      <c r="L36" s="40"/>
      <c r="M36" s="40"/>
    </row>
    <row r="37" spans="2:13" ht="14.1" customHeight="1" x14ac:dyDescent="0.2">
      <c r="B37" s="439" t="s">
        <v>574</v>
      </c>
      <c r="C37" s="84" t="s">
        <v>741</v>
      </c>
      <c r="D37" s="22" t="s">
        <v>22</v>
      </c>
      <c r="E37" s="349">
        <v>240</v>
      </c>
      <c r="F37" s="585"/>
      <c r="G37" s="383">
        <f t="shared" si="1"/>
        <v>0</v>
      </c>
      <c r="H37" s="42"/>
      <c r="J37" s="40"/>
      <c r="K37" s="40"/>
      <c r="L37" s="40"/>
      <c r="M37" s="40"/>
    </row>
    <row r="38" spans="2:13" ht="14.1" customHeight="1" x14ac:dyDescent="0.2">
      <c r="B38" s="51"/>
      <c r="C38" s="14"/>
      <c r="D38" s="22"/>
      <c r="E38" s="349"/>
      <c r="F38" s="585"/>
      <c r="G38" s="383" t="str">
        <f t="shared" si="1"/>
        <v/>
      </c>
      <c r="H38" s="42"/>
      <c r="J38" s="40"/>
      <c r="K38" s="40"/>
      <c r="L38" s="40"/>
      <c r="M38" s="40"/>
    </row>
    <row r="39" spans="2:13" ht="14.1" customHeight="1" x14ac:dyDescent="0.2">
      <c r="B39" s="439" t="s">
        <v>739</v>
      </c>
      <c r="C39" s="84" t="s">
        <v>742</v>
      </c>
      <c r="D39" s="22" t="s">
        <v>743</v>
      </c>
      <c r="E39" s="349">
        <v>210</v>
      </c>
      <c r="F39" s="585"/>
      <c r="G39" s="383">
        <f t="shared" si="1"/>
        <v>0</v>
      </c>
      <c r="H39" s="42"/>
      <c r="J39" s="40"/>
      <c r="K39" s="40"/>
      <c r="L39" s="40"/>
      <c r="M39" s="40"/>
    </row>
    <row r="40" spans="2:13" ht="14.1" customHeight="1" x14ac:dyDescent="0.2">
      <c r="B40" s="51"/>
      <c r="C40" s="14"/>
      <c r="D40" s="22"/>
      <c r="E40" s="349"/>
      <c r="F40" s="585"/>
      <c r="G40" s="383" t="str">
        <f t="shared" si="1"/>
        <v/>
      </c>
      <c r="H40" s="42"/>
      <c r="J40" s="40"/>
      <c r="K40" s="40"/>
      <c r="L40" s="40"/>
      <c r="M40" s="40"/>
    </row>
    <row r="41" spans="2:13" ht="14.1" customHeight="1" x14ac:dyDescent="0.2">
      <c r="B41" s="439" t="s">
        <v>575</v>
      </c>
      <c r="C41" s="84" t="s">
        <v>576</v>
      </c>
      <c r="D41" s="22" t="s">
        <v>22</v>
      </c>
      <c r="E41" s="349">
        <v>1200</v>
      </c>
      <c r="F41" s="585"/>
      <c r="G41" s="383">
        <f t="shared" si="1"/>
        <v>0</v>
      </c>
      <c r="H41" s="42"/>
      <c r="J41" s="40"/>
      <c r="K41" s="40"/>
      <c r="L41" s="40"/>
      <c r="M41" s="40"/>
    </row>
    <row r="42" spans="2:13" ht="14.1" customHeight="1" x14ac:dyDescent="0.2">
      <c r="B42" s="439"/>
      <c r="C42" s="84"/>
      <c r="D42" s="22"/>
      <c r="E42" s="349"/>
      <c r="F42" s="585"/>
      <c r="G42" s="383"/>
      <c r="H42" s="42"/>
      <c r="J42" s="40"/>
      <c r="K42" s="40"/>
      <c r="L42" s="40"/>
      <c r="M42" s="40"/>
    </row>
    <row r="43" spans="2:13" ht="14.1" customHeight="1" x14ac:dyDescent="0.2">
      <c r="B43" s="439"/>
      <c r="C43" s="84"/>
      <c r="D43" s="22"/>
      <c r="E43" s="349"/>
      <c r="F43" s="585"/>
      <c r="G43" s="383"/>
      <c r="H43" s="42"/>
      <c r="J43" s="40"/>
      <c r="K43" s="40"/>
      <c r="L43" s="40"/>
      <c r="M43" s="40"/>
    </row>
    <row r="44" spans="2:13" ht="14.1" customHeight="1" x14ac:dyDescent="0.2">
      <c r="B44" s="439"/>
      <c r="C44" s="84"/>
      <c r="D44" s="22"/>
      <c r="E44" s="349"/>
      <c r="F44" s="585"/>
      <c r="G44" s="383"/>
      <c r="H44" s="42"/>
      <c r="J44" s="40"/>
      <c r="K44" s="40"/>
      <c r="L44" s="40"/>
      <c r="M44" s="40"/>
    </row>
    <row r="45" spans="2:13" ht="14.1" customHeight="1" x14ac:dyDescent="0.2">
      <c r="B45" s="439"/>
      <c r="C45" s="84"/>
      <c r="D45" s="22"/>
      <c r="E45" s="349"/>
      <c r="F45" s="585"/>
      <c r="G45" s="383"/>
      <c r="H45" s="42"/>
      <c r="J45" s="40"/>
      <c r="K45" s="40"/>
      <c r="L45" s="40"/>
      <c r="M45" s="40"/>
    </row>
    <row r="46" spans="2:13" ht="14.1" customHeight="1" x14ac:dyDescent="0.2">
      <c r="B46" s="439"/>
      <c r="C46" s="84"/>
      <c r="D46" s="22"/>
      <c r="E46" s="349"/>
      <c r="F46" s="585"/>
      <c r="G46" s="383"/>
      <c r="H46" s="42"/>
      <c r="J46" s="40"/>
      <c r="K46" s="40"/>
      <c r="L46" s="40"/>
      <c r="M46" s="40"/>
    </row>
    <row r="47" spans="2:13" ht="14.1" customHeight="1" x14ac:dyDescent="0.2">
      <c r="B47" s="439"/>
      <c r="C47" s="84"/>
      <c r="D47" s="22"/>
      <c r="E47" s="349"/>
      <c r="F47" s="585"/>
      <c r="G47" s="383"/>
      <c r="H47" s="42"/>
      <c r="J47" s="40"/>
      <c r="K47" s="40"/>
      <c r="L47" s="40"/>
      <c r="M47" s="40"/>
    </row>
    <row r="48" spans="2:13" ht="14.1" customHeight="1" x14ac:dyDescent="0.2">
      <c r="B48" s="439"/>
      <c r="C48" s="84"/>
      <c r="D48" s="22"/>
      <c r="E48" s="349"/>
      <c r="F48" s="585"/>
      <c r="G48" s="383"/>
      <c r="H48" s="42"/>
      <c r="J48" s="40"/>
      <c r="K48" s="40"/>
      <c r="L48" s="40"/>
      <c r="M48" s="40"/>
    </row>
    <row r="49" spans="2:13" ht="14.1" customHeight="1" x14ac:dyDescent="0.2">
      <c r="B49" s="439"/>
      <c r="C49" s="84"/>
      <c r="D49" s="22"/>
      <c r="E49" s="349"/>
      <c r="F49" s="585"/>
      <c r="G49" s="383"/>
      <c r="H49" s="42"/>
      <c r="J49" s="40"/>
      <c r="K49" s="40"/>
      <c r="L49" s="40"/>
      <c r="M49" s="40"/>
    </row>
    <row r="50" spans="2:13" ht="14.1" customHeight="1" x14ac:dyDescent="0.2">
      <c r="B50" s="439"/>
      <c r="C50" s="84"/>
      <c r="D50" s="22"/>
      <c r="E50" s="349"/>
      <c r="F50" s="585"/>
      <c r="G50" s="383"/>
      <c r="H50" s="42"/>
      <c r="J50" s="40"/>
      <c r="K50" s="40"/>
      <c r="L50" s="40"/>
      <c r="M50" s="40"/>
    </row>
    <row r="51" spans="2:13" ht="14.1" customHeight="1" x14ac:dyDescent="0.2">
      <c r="B51" s="439"/>
      <c r="C51" s="84"/>
      <c r="D51" s="22"/>
      <c r="E51" s="349"/>
      <c r="F51" s="585"/>
      <c r="G51" s="383"/>
      <c r="H51" s="42"/>
      <c r="J51" s="40"/>
      <c r="K51" s="40"/>
      <c r="L51" s="40"/>
      <c r="M51" s="40"/>
    </row>
    <row r="52" spans="2:13" ht="14.1" customHeight="1" x14ac:dyDescent="0.2">
      <c r="B52" s="439"/>
      <c r="C52" s="84"/>
      <c r="D52" s="22"/>
      <c r="E52" s="349"/>
      <c r="F52" s="585"/>
      <c r="G52" s="383"/>
      <c r="H52" s="42"/>
      <c r="J52" s="40"/>
      <c r="K52" s="40"/>
      <c r="L52" s="40"/>
      <c r="M52" s="40"/>
    </row>
    <row r="53" spans="2:13" ht="14.1" customHeight="1" x14ac:dyDescent="0.2">
      <c r="B53" s="439"/>
      <c r="C53" s="84"/>
      <c r="D53" s="22"/>
      <c r="E53" s="349"/>
      <c r="F53" s="585"/>
      <c r="G53" s="383"/>
      <c r="H53" s="42"/>
      <c r="J53" s="40"/>
      <c r="K53" s="40"/>
      <c r="L53" s="40"/>
      <c r="M53" s="40"/>
    </row>
    <row r="54" spans="2:13" ht="14.1" customHeight="1" x14ac:dyDescent="0.2">
      <c r="B54" s="439"/>
      <c r="C54" s="84"/>
      <c r="D54" s="22"/>
      <c r="E54" s="349"/>
      <c r="F54" s="510"/>
      <c r="G54" s="25"/>
      <c r="H54" s="42"/>
      <c r="J54" s="40"/>
      <c r="K54" s="40"/>
      <c r="L54" s="40"/>
      <c r="M54" s="40"/>
    </row>
    <row r="55" spans="2:13" x14ac:dyDescent="0.2">
      <c r="B55" s="439"/>
      <c r="C55" s="84"/>
      <c r="D55" s="22"/>
      <c r="E55" s="349"/>
      <c r="F55" s="510"/>
      <c r="G55" s="25"/>
      <c r="H55" s="42"/>
      <c r="J55" s="40"/>
      <c r="K55" s="40"/>
      <c r="L55" s="40"/>
      <c r="M55" s="40"/>
    </row>
    <row r="56" spans="2:13" x14ac:dyDescent="0.2">
      <c r="B56" s="121" t="s">
        <v>16</v>
      </c>
      <c r="C56" s="656" t="s">
        <v>12</v>
      </c>
      <c r="D56" s="657"/>
      <c r="E56" s="658"/>
      <c r="F56" s="659"/>
      <c r="G56" s="352">
        <f>SUM(G15:G55)</f>
        <v>300000</v>
      </c>
      <c r="H56" s="42"/>
      <c r="J56" s="40"/>
      <c r="K56" s="40"/>
      <c r="L56" s="40"/>
      <c r="M56" s="40"/>
    </row>
    <row r="57" spans="2:13" x14ac:dyDescent="0.2">
      <c r="B57" s="439"/>
      <c r="C57" s="84"/>
      <c r="D57" s="22"/>
      <c r="E57" s="349"/>
      <c r="F57" s="510"/>
      <c r="G57" s="25"/>
      <c r="H57" s="42"/>
      <c r="J57" s="40"/>
      <c r="K57" s="40"/>
      <c r="L57" s="40"/>
      <c r="M57" s="40"/>
    </row>
    <row r="58" spans="2:13" x14ac:dyDescent="0.2">
      <c r="B58" s="689" t="str">
        <f>Client1</f>
        <v>Province of KwaZulu-Natal</v>
      </c>
      <c r="C58" s="689"/>
      <c r="D58" s="689"/>
      <c r="E58" s="687" t="str">
        <f>"Contract No. "&amp;ContractNo</f>
        <v>Contract No. ZNB02287/00000/00/MET/INF/24/T</v>
      </c>
      <c r="F58" s="687"/>
      <c r="G58" s="687"/>
      <c r="H58" s="42"/>
      <c r="J58" s="40"/>
      <c r="K58" s="40"/>
      <c r="L58" s="40"/>
      <c r="M58" s="40"/>
    </row>
    <row r="59" spans="2:13" ht="18.75" customHeight="1" x14ac:dyDescent="0.2">
      <c r="B59" s="689" t="str">
        <f>Client2</f>
        <v>Department of Transport</v>
      </c>
      <c r="C59" s="689"/>
      <c r="D59" s="689"/>
      <c r="E59" s="687"/>
      <c r="F59" s="687"/>
      <c r="G59" s="687"/>
      <c r="H59" s="42"/>
      <c r="J59" s="40"/>
      <c r="K59" s="40"/>
      <c r="L59" s="40"/>
      <c r="M59" s="40"/>
    </row>
    <row r="60" spans="2:13" x14ac:dyDescent="0.2">
      <c r="B60" s="690"/>
      <c r="C60" s="690"/>
      <c r="D60" s="690"/>
      <c r="E60" s="688"/>
      <c r="F60" s="688"/>
      <c r="G60" s="688"/>
      <c r="H60" s="42"/>
      <c r="J60" s="40"/>
      <c r="K60" s="40"/>
      <c r="L60" s="40"/>
      <c r="M60" s="40"/>
    </row>
    <row r="61" spans="2:13" x14ac:dyDescent="0.2">
      <c r="B61" s="698" t="s">
        <v>8</v>
      </c>
      <c r="C61" s="699"/>
      <c r="D61" s="699"/>
      <c r="E61" s="699"/>
      <c r="F61" s="699"/>
      <c r="G61" s="700" t="str">
        <f>$G$5</f>
        <v>CHAPTER C1.2</v>
      </c>
      <c r="H61" s="42"/>
      <c r="J61" s="40"/>
      <c r="K61" s="40"/>
      <c r="L61" s="40"/>
      <c r="M61" s="40"/>
    </row>
    <row r="62" spans="2:13" x14ac:dyDescent="0.2">
      <c r="B62" s="691" t="str">
        <f>ContractDescription</f>
        <v>PROVISION OF ROUTINE AND SAFETY MAINTENANCE ON MIAN ROAD P3/1 (KM 69.00 TO KM 77.96), P3/2 (KM 0.00 TO KM 11.50), P21/2(KM 0.00 TO KM 29.83 IN THE ETHEKWINI METRO - DURBAN REGION</v>
      </c>
      <c r="C62" s="692"/>
      <c r="D62" s="692"/>
      <c r="E62" s="692"/>
      <c r="F62" s="692"/>
      <c r="G62" s="701"/>
      <c r="H62" s="42"/>
      <c r="J62" s="40"/>
      <c r="K62" s="40"/>
      <c r="L62" s="40"/>
      <c r="M62" s="40"/>
    </row>
    <row r="63" spans="2:13" x14ac:dyDescent="0.2">
      <c r="B63" s="691"/>
      <c r="C63" s="692"/>
      <c r="D63" s="692"/>
      <c r="E63" s="692"/>
      <c r="F63" s="692"/>
      <c r="G63" s="701"/>
      <c r="H63" s="42"/>
      <c r="J63" s="40"/>
      <c r="K63" s="40"/>
      <c r="L63" s="40"/>
      <c r="M63" s="40"/>
    </row>
    <row r="64" spans="2:13" x14ac:dyDescent="0.2">
      <c r="B64" s="693"/>
      <c r="C64" s="694"/>
      <c r="D64" s="694"/>
      <c r="E64" s="694"/>
      <c r="F64" s="694"/>
      <c r="G64" s="702"/>
      <c r="H64" s="42"/>
      <c r="J64" s="40"/>
      <c r="K64" s="40"/>
      <c r="L64" s="40"/>
      <c r="M64" s="40"/>
    </row>
    <row r="65" spans="2:13" x14ac:dyDescent="0.2">
      <c r="B65" s="68" t="s">
        <v>0</v>
      </c>
      <c r="C65" s="11" t="s">
        <v>1</v>
      </c>
      <c r="D65" s="11" t="s">
        <v>2</v>
      </c>
      <c r="E65" s="11" t="s">
        <v>3</v>
      </c>
      <c r="F65" s="11" t="s">
        <v>4</v>
      </c>
      <c r="G65" s="11" t="s">
        <v>5</v>
      </c>
      <c r="H65" s="42"/>
      <c r="J65" s="40"/>
      <c r="K65" s="40"/>
      <c r="L65" s="40"/>
      <c r="M65" s="40"/>
    </row>
    <row r="66" spans="2:13" x14ac:dyDescent="0.2">
      <c r="B66" s="74"/>
      <c r="C66" s="32" t="s">
        <v>26</v>
      </c>
      <c r="D66" s="74"/>
      <c r="E66" s="34"/>
      <c r="F66" s="74"/>
      <c r="G66" s="352">
        <f>G56</f>
        <v>300000</v>
      </c>
      <c r="H66" s="42"/>
      <c r="J66" s="40"/>
      <c r="K66" s="40"/>
      <c r="L66" s="40"/>
      <c r="M66" s="40"/>
    </row>
    <row r="67" spans="2:13" ht="12.6" customHeight="1" x14ac:dyDescent="0.2">
      <c r="B67" s="51"/>
      <c r="C67" s="14"/>
      <c r="D67" s="22"/>
      <c r="E67" s="349"/>
      <c r="F67" s="510"/>
      <c r="G67" s="25"/>
      <c r="H67" s="42"/>
      <c r="J67" s="40"/>
      <c r="K67" s="40"/>
      <c r="L67" s="40"/>
      <c r="M67" s="40"/>
    </row>
    <row r="68" spans="2:13" x14ac:dyDescent="0.2">
      <c r="B68" s="67" t="s">
        <v>27</v>
      </c>
      <c r="C68" s="20" t="s">
        <v>28</v>
      </c>
      <c r="D68" s="22"/>
      <c r="E68" s="22"/>
      <c r="F68" s="510"/>
      <c r="G68" s="25" t="str">
        <f>IF(D68="","",E68*F68)</f>
        <v/>
      </c>
      <c r="H68" s="42"/>
      <c r="J68" s="40"/>
      <c r="K68" s="40"/>
      <c r="L68" s="40"/>
      <c r="M68" s="40"/>
    </row>
    <row r="69" spans="2:13" x14ac:dyDescent="0.2">
      <c r="B69" s="51"/>
      <c r="C69" s="14"/>
      <c r="D69" s="22"/>
      <c r="E69" s="22"/>
      <c r="F69" s="510"/>
      <c r="G69" s="25" t="str">
        <f>IF(D69="","",E69*F69)</f>
        <v/>
      </c>
      <c r="H69" s="42"/>
      <c r="J69" s="40"/>
      <c r="K69" s="40"/>
      <c r="L69" s="40"/>
      <c r="M69" s="40"/>
    </row>
    <row r="70" spans="2:13" x14ac:dyDescent="0.2">
      <c r="B70" s="51" t="s">
        <v>29</v>
      </c>
      <c r="C70" s="14" t="s">
        <v>30</v>
      </c>
      <c r="D70" s="22" t="s">
        <v>11</v>
      </c>
      <c r="E70" s="22">
        <v>1</v>
      </c>
      <c r="F70" s="510"/>
      <c r="G70" s="25">
        <f>IF(D70="","",E70*F70)</f>
        <v>0</v>
      </c>
      <c r="H70" s="42"/>
      <c r="J70" s="40"/>
      <c r="K70" s="40"/>
      <c r="L70" s="40"/>
      <c r="M70" s="40"/>
    </row>
    <row r="71" spans="2:13" x14ac:dyDescent="0.2">
      <c r="B71" s="51"/>
      <c r="C71" s="14"/>
      <c r="D71" s="22"/>
      <c r="E71" s="22"/>
      <c r="F71" s="510"/>
      <c r="G71" s="25" t="str">
        <f>IF(D71="","",E71*F71)</f>
        <v/>
      </c>
      <c r="H71" s="42"/>
      <c r="J71" s="40"/>
      <c r="K71" s="40"/>
      <c r="L71" s="40"/>
      <c r="M71" s="40"/>
    </row>
    <row r="72" spans="2:13" x14ac:dyDescent="0.2">
      <c r="B72" s="51" t="s">
        <v>31</v>
      </c>
      <c r="C72" s="14" t="s">
        <v>32</v>
      </c>
      <c r="D72" s="22" t="s">
        <v>17</v>
      </c>
      <c r="E72" s="152">
        <f>_Duration</f>
        <v>36</v>
      </c>
      <c r="F72" s="510"/>
      <c r="G72" s="25">
        <f>IF(D72="","",E72*F72)</f>
        <v>0</v>
      </c>
      <c r="H72" s="42"/>
      <c r="J72" s="40"/>
      <c r="K72" s="40"/>
      <c r="L72" s="40"/>
      <c r="M72" s="40"/>
    </row>
    <row r="73" spans="2:13" x14ac:dyDescent="0.2">
      <c r="B73" s="51"/>
      <c r="C73" s="14"/>
      <c r="D73" s="22"/>
      <c r="E73" s="22"/>
      <c r="F73" s="510"/>
      <c r="G73" s="25"/>
      <c r="H73" s="42"/>
      <c r="J73" s="40"/>
      <c r="K73" s="40"/>
      <c r="L73" s="40"/>
      <c r="M73" s="40"/>
    </row>
    <row r="74" spans="2:13" x14ac:dyDescent="0.2">
      <c r="B74" s="420" t="s">
        <v>715</v>
      </c>
      <c r="C74" s="421" t="s">
        <v>716</v>
      </c>
      <c r="D74" s="22"/>
      <c r="E74" s="22"/>
      <c r="F74" s="510"/>
      <c r="G74" s="25"/>
      <c r="H74" s="42"/>
      <c r="J74" s="40"/>
      <c r="K74" s="40"/>
      <c r="L74" s="40"/>
      <c r="M74" s="40"/>
    </row>
    <row r="75" spans="2:13" x14ac:dyDescent="0.2">
      <c r="B75" s="422"/>
      <c r="C75" s="423"/>
      <c r="D75" s="22"/>
      <c r="E75" s="22"/>
      <c r="F75" s="510"/>
      <c r="G75" s="25"/>
      <c r="H75" s="42"/>
      <c r="J75" s="40"/>
      <c r="K75" s="40"/>
      <c r="L75" s="40"/>
      <c r="M75" s="40"/>
    </row>
    <row r="76" spans="2:13" x14ac:dyDescent="0.2">
      <c r="B76" s="420" t="s">
        <v>717</v>
      </c>
      <c r="C76" s="421" t="s">
        <v>718</v>
      </c>
      <c r="D76" s="22"/>
      <c r="E76" s="22"/>
      <c r="F76" s="510"/>
      <c r="G76" s="25"/>
      <c r="H76" s="42"/>
      <c r="J76" s="40"/>
      <c r="K76" s="40"/>
      <c r="L76" s="40"/>
      <c r="M76" s="40"/>
    </row>
    <row r="77" spans="2:13" x14ac:dyDescent="0.2">
      <c r="B77" s="422"/>
      <c r="C77" s="423"/>
      <c r="D77" s="22"/>
      <c r="E77" s="22"/>
      <c r="F77" s="510"/>
      <c r="G77" s="25"/>
      <c r="H77" s="42"/>
      <c r="J77" s="40"/>
      <c r="K77" s="40"/>
      <c r="L77" s="40"/>
      <c r="M77" s="40"/>
    </row>
    <row r="78" spans="2:13" x14ac:dyDescent="0.2">
      <c r="B78" s="420"/>
      <c r="C78" s="421" t="s">
        <v>719</v>
      </c>
      <c r="D78" s="424" t="s">
        <v>720</v>
      </c>
      <c r="E78" s="425">
        <v>3200</v>
      </c>
      <c r="F78" s="512"/>
      <c r="G78" s="426">
        <f>IF(D78 = CHAR(37), E78*F78/100,E78*F78)</f>
        <v>0</v>
      </c>
      <c r="H78" s="42"/>
      <c r="J78" s="40"/>
      <c r="K78" s="40"/>
      <c r="L78" s="40"/>
      <c r="M78" s="40"/>
    </row>
    <row r="79" spans="2:13" x14ac:dyDescent="0.2">
      <c r="B79" s="422"/>
      <c r="C79" s="423"/>
      <c r="D79" s="427"/>
      <c r="E79" s="427"/>
      <c r="F79" s="513"/>
      <c r="G79" s="427"/>
      <c r="H79" s="42"/>
      <c r="J79" s="40"/>
      <c r="K79" s="40"/>
      <c r="L79" s="40"/>
      <c r="M79" s="40"/>
    </row>
    <row r="80" spans="2:13" hidden="1" x14ac:dyDescent="0.2">
      <c r="B80" s="420"/>
      <c r="C80" s="421" t="s">
        <v>721</v>
      </c>
      <c r="D80" s="424" t="s">
        <v>720</v>
      </c>
      <c r="E80" s="425">
        <v>0</v>
      </c>
      <c r="F80" s="512"/>
      <c r="G80" s="426">
        <f>IF(D80 = CHAR(37), E80*F80/100,E80*F80)</f>
        <v>0</v>
      </c>
      <c r="H80" s="42"/>
      <c r="J80" s="40"/>
      <c r="K80" s="40"/>
      <c r="L80" s="40"/>
      <c r="M80" s="40"/>
    </row>
    <row r="81" spans="2:13" hidden="1" x14ac:dyDescent="0.2">
      <c r="B81" s="422"/>
      <c r="C81" s="423"/>
      <c r="D81" s="427"/>
      <c r="E81" s="427"/>
      <c r="F81" s="513"/>
      <c r="G81" s="427"/>
      <c r="H81" s="42"/>
      <c r="J81" s="40"/>
      <c r="K81" s="40"/>
      <c r="L81" s="40"/>
      <c r="M81" s="40"/>
    </row>
    <row r="82" spans="2:13" x14ac:dyDescent="0.2">
      <c r="B82" s="420"/>
      <c r="C82" s="421" t="s">
        <v>722</v>
      </c>
      <c r="D82" s="424" t="s">
        <v>720</v>
      </c>
      <c r="E82" s="425">
        <v>640</v>
      </c>
      <c r="F82" s="512"/>
      <c r="G82" s="426">
        <f>IF(D82 = CHAR(37), E82*F82/100,E82*F82)</f>
        <v>0</v>
      </c>
      <c r="H82" s="42"/>
      <c r="J82" s="40"/>
      <c r="K82" s="40"/>
      <c r="L82" s="40"/>
      <c r="M82" s="40"/>
    </row>
    <row r="83" spans="2:13" x14ac:dyDescent="0.2">
      <c r="B83" s="422"/>
      <c r="C83" s="423"/>
      <c r="D83" s="427"/>
      <c r="E83" s="427"/>
      <c r="F83" s="513"/>
      <c r="G83" s="427"/>
      <c r="H83" s="42"/>
      <c r="J83" s="40"/>
      <c r="K83" s="40"/>
      <c r="L83" s="40"/>
      <c r="M83" s="40"/>
    </row>
    <row r="84" spans="2:13" hidden="1" x14ac:dyDescent="0.2">
      <c r="B84" s="420"/>
      <c r="C84" s="421" t="s">
        <v>723</v>
      </c>
      <c r="D84" s="424" t="s">
        <v>720</v>
      </c>
      <c r="E84" s="425">
        <v>0</v>
      </c>
      <c r="F84" s="512"/>
      <c r="G84" s="426">
        <f>IF(D84 = CHAR(37), E84*F84/100,E84*F84)</f>
        <v>0</v>
      </c>
      <c r="H84" s="42"/>
      <c r="J84" s="40"/>
      <c r="K84" s="40"/>
      <c r="L84" s="40"/>
      <c r="M84" s="40"/>
    </row>
    <row r="85" spans="2:13" hidden="1" x14ac:dyDescent="0.2">
      <c r="B85" s="422"/>
      <c r="C85" s="423"/>
      <c r="D85" s="427"/>
      <c r="E85" s="427"/>
      <c r="F85" s="513"/>
      <c r="G85" s="427"/>
      <c r="H85" s="42"/>
      <c r="J85" s="40"/>
      <c r="K85" s="40"/>
      <c r="L85" s="40"/>
      <c r="M85" s="40"/>
    </row>
    <row r="86" spans="2:13" x14ac:dyDescent="0.2">
      <c r="B86" s="420"/>
      <c r="C86" s="421" t="s">
        <v>724</v>
      </c>
      <c r="D86" s="424" t="s">
        <v>720</v>
      </c>
      <c r="E86" s="425">
        <v>320</v>
      </c>
      <c r="F86" s="512"/>
      <c r="G86" s="426">
        <f>IF(D86 = CHAR(37), E86*F86/100,E86*F86)</f>
        <v>0</v>
      </c>
      <c r="H86" s="42"/>
      <c r="J86" s="40"/>
      <c r="K86" s="40"/>
      <c r="L86" s="40"/>
      <c r="M86" s="40"/>
    </row>
    <row r="87" spans="2:13" x14ac:dyDescent="0.2">
      <c r="B87" s="422"/>
      <c r="C87" s="423"/>
      <c r="D87" s="427"/>
      <c r="E87" s="427"/>
      <c r="F87" s="513"/>
      <c r="G87" s="427"/>
      <c r="H87" s="42"/>
      <c r="J87" s="40"/>
      <c r="K87" s="40"/>
      <c r="L87" s="40"/>
      <c r="M87" s="40"/>
    </row>
    <row r="88" spans="2:13" ht="25.5" x14ac:dyDescent="0.2">
      <c r="B88" s="420" t="s">
        <v>725</v>
      </c>
      <c r="C88" s="421" t="s">
        <v>726</v>
      </c>
      <c r="D88" s="424"/>
      <c r="E88" s="425"/>
      <c r="F88" s="514"/>
      <c r="G88" s="426"/>
      <c r="H88" s="42"/>
      <c r="J88" s="40"/>
      <c r="K88" s="40"/>
      <c r="L88" s="40"/>
      <c r="M88" s="40"/>
    </row>
    <row r="89" spans="2:13" x14ac:dyDescent="0.2">
      <c r="B89" s="422"/>
      <c r="C89" s="423"/>
      <c r="D89" s="427"/>
      <c r="E89" s="427"/>
      <c r="F89" s="513"/>
      <c r="G89" s="427"/>
      <c r="H89" s="42"/>
      <c r="J89" s="40"/>
      <c r="K89" s="40"/>
      <c r="L89" s="40"/>
      <c r="M89" s="40"/>
    </row>
    <row r="90" spans="2:13" x14ac:dyDescent="0.2">
      <c r="B90" s="420"/>
      <c r="C90" s="421" t="s">
        <v>727</v>
      </c>
      <c r="D90" s="424" t="s">
        <v>720</v>
      </c>
      <c r="E90" s="425">
        <v>80</v>
      </c>
      <c r="F90" s="512"/>
      <c r="G90" s="426">
        <f>IF(D90 = CHAR(37), E90*F90/100,E90*F90)</f>
        <v>0</v>
      </c>
      <c r="H90" s="42"/>
      <c r="J90" s="40"/>
      <c r="K90" s="40"/>
      <c r="L90" s="40"/>
      <c r="M90" s="40"/>
    </row>
    <row r="91" spans="2:13" x14ac:dyDescent="0.2">
      <c r="B91" s="422"/>
      <c r="C91" s="423"/>
      <c r="D91" s="427"/>
      <c r="E91" s="427"/>
      <c r="F91" s="513"/>
      <c r="G91" s="427"/>
      <c r="H91" s="42"/>
      <c r="J91" s="40"/>
      <c r="K91" s="40"/>
      <c r="L91" s="40"/>
      <c r="M91" s="40"/>
    </row>
    <row r="92" spans="2:13" x14ac:dyDescent="0.2">
      <c r="B92" s="420"/>
      <c r="C92" s="421" t="s">
        <v>728</v>
      </c>
      <c r="D92" s="424" t="s">
        <v>720</v>
      </c>
      <c r="E92" s="425">
        <v>80</v>
      </c>
      <c r="F92" s="512"/>
      <c r="G92" s="426">
        <f>IF(D92 = CHAR(37), E92*F92/100,E92*F92)</f>
        <v>0</v>
      </c>
      <c r="H92" s="42"/>
      <c r="J92" s="40"/>
      <c r="K92" s="40"/>
      <c r="L92" s="40"/>
      <c r="M92" s="40"/>
    </row>
    <row r="93" spans="2:13" hidden="1" x14ac:dyDescent="0.2">
      <c r="B93" s="422"/>
      <c r="C93" s="423"/>
      <c r="D93" s="427"/>
      <c r="E93" s="427"/>
      <c r="F93" s="513"/>
      <c r="G93" s="427"/>
      <c r="H93" s="42"/>
      <c r="J93" s="40"/>
      <c r="K93" s="40"/>
      <c r="L93" s="40"/>
      <c r="M93" s="40"/>
    </row>
    <row r="94" spans="2:13" hidden="1" x14ac:dyDescent="0.2">
      <c r="B94" s="420"/>
      <c r="C94" s="421" t="s">
        <v>729</v>
      </c>
      <c r="D94" s="424" t="s">
        <v>720</v>
      </c>
      <c r="E94" s="425">
        <v>0</v>
      </c>
      <c r="F94" s="512"/>
      <c r="G94" s="426">
        <f>IF(D94 = CHAR(37), E94*F94/100,E94*F94)</f>
        <v>0</v>
      </c>
      <c r="H94" s="42"/>
      <c r="J94" s="40"/>
      <c r="K94" s="40"/>
      <c r="L94" s="40"/>
      <c r="M94" s="40"/>
    </row>
    <row r="95" spans="2:13" hidden="1" x14ac:dyDescent="0.2">
      <c r="B95" s="422"/>
      <c r="C95" s="423"/>
      <c r="D95" s="427"/>
      <c r="E95" s="427"/>
      <c r="F95" s="513"/>
      <c r="G95" s="427"/>
      <c r="H95" s="42"/>
      <c r="J95" s="40"/>
      <c r="K95" s="40"/>
      <c r="L95" s="40"/>
      <c r="M95" s="40"/>
    </row>
    <row r="96" spans="2:13" hidden="1" x14ac:dyDescent="0.2">
      <c r="B96" s="420"/>
      <c r="C96" s="421" t="s">
        <v>730</v>
      </c>
      <c r="D96" s="424" t="s">
        <v>720</v>
      </c>
      <c r="E96" s="425">
        <v>0</v>
      </c>
      <c r="F96" s="512"/>
      <c r="G96" s="426">
        <f>IF(D96 = CHAR(37), E96*F96/100,E96*F96)</f>
        <v>0</v>
      </c>
      <c r="H96" s="42"/>
      <c r="J96" s="40"/>
      <c r="K96" s="40"/>
      <c r="L96" s="40"/>
      <c r="M96" s="40"/>
    </row>
    <row r="97" spans="2:13" x14ac:dyDescent="0.2">
      <c r="B97" s="422"/>
      <c r="C97" s="423"/>
      <c r="D97" s="427"/>
      <c r="E97" s="427"/>
      <c r="F97" s="513"/>
      <c r="G97" s="427"/>
      <c r="H97" s="42"/>
      <c r="J97" s="40"/>
      <c r="K97" s="40"/>
      <c r="L97" s="40"/>
      <c r="M97" s="40"/>
    </row>
    <row r="98" spans="2:13" x14ac:dyDescent="0.2">
      <c r="B98" s="420"/>
      <c r="C98" s="421" t="s">
        <v>731</v>
      </c>
      <c r="D98" s="424" t="s">
        <v>720</v>
      </c>
      <c r="E98" s="425">
        <v>40</v>
      </c>
      <c r="F98" s="512"/>
      <c r="G98" s="426">
        <f>IF(D98 = CHAR(37), E98*F98/100,E98*F98)</f>
        <v>0</v>
      </c>
      <c r="H98" s="42"/>
      <c r="J98" s="40"/>
      <c r="K98" s="40"/>
      <c r="L98" s="40"/>
      <c r="M98" s="40"/>
    </row>
    <row r="99" spans="2:13" x14ac:dyDescent="0.2">
      <c r="B99" s="422"/>
      <c r="C99" s="423"/>
      <c r="D99" s="427"/>
      <c r="E99" s="427"/>
      <c r="F99" s="513"/>
      <c r="G99" s="427"/>
      <c r="H99" s="42"/>
      <c r="J99" s="40"/>
      <c r="K99" s="40"/>
      <c r="L99" s="40"/>
      <c r="M99" s="40"/>
    </row>
    <row r="100" spans="2:13" x14ac:dyDescent="0.2">
      <c r="B100" s="420"/>
      <c r="C100" s="421" t="s">
        <v>732</v>
      </c>
      <c r="D100" s="424" t="s">
        <v>720</v>
      </c>
      <c r="E100" s="425">
        <v>70</v>
      </c>
      <c r="F100" s="512"/>
      <c r="G100" s="426">
        <f>IF(D100 = CHAR(37), E100*F100/100,E100*F100)</f>
        <v>0</v>
      </c>
      <c r="H100" s="42"/>
      <c r="J100" s="40"/>
      <c r="K100" s="40"/>
      <c r="L100" s="40"/>
      <c r="M100" s="40"/>
    </row>
    <row r="101" spans="2:13" x14ac:dyDescent="0.2">
      <c r="B101" s="422"/>
      <c r="C101" s="423"/>
      <c r="D101" s="427"/>
      <c r="E101" s="427"/>
      <c r="F101" s="513"/>
      <c r="G101" s="427"/>
      <c r="H101" s="42"/>
      <c r="J101" s="40"/>
      <c r="K101" s="40"/>
      <c r="L101" s="40"/>
      <c r="M101" s="40"/>
    </row>
    <row r="102" spans="2:13" x14ac:dyDescent="0.2">
      <c r="B102" s="420" t="s">
        <v>733</v>
      </c>
      <c r="C102" s="421" t="s">
        <v>734</v>
      </c>
      <c r="D102" s="424"/>
      <c r="E102" s="425"/>
      <c r="F102" s="514"/>
      <c r="G102" s="426"/>
      <c r="H102" s="42"/>
      <c r="J102" s="40"/>
      <c r="K102" s="40"/>
      <c r="L102" s="40"/>
      <c r="M102" s="40"/>
    </row>
    <row r="103" spans="2:13" x14ac:dyDescent="0.2">
      <c r="B103" s="422"/>
      <c r="C103" s="423"/>
      <c r="D103" s="427"/>
      <c r="E103" s="427"/>
      <c r="F103" s="513"/>
      <c r="G103" s="427"/>
      <c r="H103" s="42"/>
      <c r="J103" s="40"/>
      <c r="K103" s="40"/>
      <c r="L103" s="40"/>
      <c r="M103" s="40"/>
    </row>
    <row r="104" spans="2:13" x14ac:dyDescent="0.2">
      <c r="B104" s="420"/>
      <c r="C104" s="421" t="s">
        <v>735</v>
      </c>
      <c r="D104" s="424" t="s">
        <v>22</v>
      </c>
      <c r="E104" s="425">
        <v>2000</v>
      </c>
      <c r="F104" s="512"/>
      <c r="G104" s="426">
        <f>IF(D104 = CHAR(37), E104*F104/100,E104*F104)</f>
        <v>0</v>
      </c>
      <c r="H104" s="42"/>
      <c r="J104" s="40"/>
      <c r="K104" s="40"/>
      <c r="L104" s="40"/>
      <c r="M104" s="40"/>
    </row>
    <row r="105" spans="2:13" x14ac:dyDescent="0.2">
      <c r="B105" s="51"/>
      <c r="C105" s="14"/>
      <c r="D105" s="22"/>
      <c r="E105" s="22"/>
      <c r="F105" s="510"/>
      <c r="G105" s="25"/>
      <c r="H105" s="42"/>
      <c r="J105" s="40"/>
      <c r="K105" s="40"/>
      <c r="L105" s="40"/>
      <c r="M105" s="40"/>
    </row>
    <row r="106" spans="2:13" x14ac:dyDescent="0.2">
      <c r="B106" s="420"/>
      <c r="C106" s="421" t="s">
        <v>736</v>
      </c>
      <c r="D106" s="424" t="s">
        <v>22</v>
      </c>
      <c r="E106" s="425">
        <v>1000</v>
      </c>
      <c r="F106" s="512"/>
      <c r="G106" s="426">
        <f>IF(D106 = CHAR(37), E106*F106/100,E106*F106)</f>
        <v>0</v>
      </c>
      <c r="H106" s="42"/>
      <c r="J106" s="40"/>
      <c r="K106" s="40"/>
      <c r="L106" s="40"/>
      <c r="M106" s="40"/>
    </row>
    <row r="107" spans="2:13" x14ac:dyDescent="0.2">
      <c r="B107" s="422"/>
      <c r="C107" s="423"/>
      <c r="D107" s="427"/>
      <c r="E107" s="427"/>
      <c r="F107" s="513"/>
      <c r="G107" s="427"/>
      <c r="H107" s="42"/>
      <c r="J107" s="40"/>
      <c r="K107" s="40"/>
      <c r="L107" s="40"/>
      <c r="M107" s="40"/>
    </row>
    <row r="108" spans="2:13" x14ac:dyDescent="0.2">
      <c r="B108" s="420"/>
      <c r="C108" s="421" t="s">
        <v>737</v>
      </c>
      <c r="D108" s="424" t="s">
        <v>22</v>
      </c>
      <c r="E108" s="425">
        <v>200</v>
      </c>
      <c r="F108" s="512"/>
      <c r="G108" s="426">
        <f>IF(D108 = CHAR(37), E108*F108/100,E108*F108)</f>
        <v>0</v>
      </c>
      <c r="H108" s="42"/>
      <c r="J108" s="40"/>
      <c r="K108" s="40"/>
      <c r="L108" s="40"/>
      <c r="M108" s="40"/>
    </row>
    <row r="109" spans="2:13" x14ac:dyDescent="0.2">
      <c r="B109" s="422"/>
      <c r="C109" s="423"/>
      <c r="D109" s="427"/>
      <c r="E109" s="427"/>
      <c r="F109" s="513"/>
      <c r="G109" s="427"/>
      <c r="H109" s="42"/>
      <c r="J109" s="40"/>
      <c r="K109" s="40"/>
      <c r="L109" s="40"/>
      <c r="M109" s="40"/>
    </row>
    <row r="110" spans="2:13" x14ac:dyDescent="0.2">
      <c r="B110" s="420"/>
      <c r="C110" s="421" t="s">
        <v>744</v>
      </c>
      <c r="D110" s="424"/>
      <c r="E110" s="425"/>
      <c r="F110" s="514"/>
      <c r="G110" s="426"/>
      <c r="H110" s="42"/>
      <c r="J110" s="40"/>
      <c r="K110" s="40"/>
      <c r="L110" s="40"/>
      <c r="M110" s="40"/>
    </row>
    <row r="111" spans="2:13" x14ac:dyDescent="0.2">
      <c r="B111" s="422"/>
      <c r="C111" s="423"/>
      <c r="D111" s="427"/>
      <c r="E111" s="427"/>
      <c r="F111" s="513"/>
      <c r="G111" s="427"/>
      <c r="H111" s="42"/>
      <c r="J111" s="40"/>
      <c r="K111" s="40"/>
      <c r="L111" s="40"/>
      <c r="M111" s="40"/>
    </row>
    <row r="112" spans="2:13" x14ac:dyDescent="0.2">
      <c r="B112" s="420"/>
      <c r="C112" s="440" t="s">
        <v>745</v>
      </c>
      <c r="D112" s="424" t="s">
        <v>22</v>
      </c>
      <c r="E112" s="425">
        <v>200</v>
      </c>
      <c r="F112" s="512"/>
      <c r="G112" s="426">
        <f>E112*F112</f>
        <v>0</v>
      </c>
      <c r="H112" s="42"/>
      <c r="J112" s="40"/>
      <c r="K112" s="40"/>
      <c r="L112" s="40"/>
      <c r="M112" s="40"/>
    </row>
    <row r="113" spans="2:13" x14ac:dyDescent="0.2">
      <c r="B113" s="422"/>
      <c r="C113" s="423"/>
      <c r="D113" s="427"/>
      <c r="E113" s="427"/>
      <c r="F113" s="513"/>
      <c r="G113" s="427"/>
      <c r="H113" s="42"/>
      <c r="J113" s="40"/>
      <c r="K113" s="40"/>
      <c r="L113" s="40"/>
      <c r="M113" s="40"/>
    </row>
    <row r="114" spans="2:13" x14ac:dyDescent="0.2">
      <c r="B114" s="51"/>
      <c r="C114" s="14"/>
      <c r="D114" s="22"/>
      <c r="E114" s="22"/>
      <c r="F114" s="510"/>
      <c r="G114" s="25" t="str">
        <f>IF(D114="","",E114*F114)</f>
        <v/>
      </c>
      <c r="H114" s="42"/>
      <c r="J114" s="40"/>
      <c r="K114" s="40"/>
      <c r="L114" s="40"/>
      <c r="M114" s="40"/>
    </row>
    <row r="115" spans="2:13" s="30" customFormat="1" ht="20.100000000000001" customHeight="1" x14ac:dyDescent="0.2">
      <c r="B115" s="74" t="str">
        <f>B11</f>
        <v>C1.2</v>
      </c>
      <c r="C115" s="32" t="str">
        <f>"TOTAL CARRIED FORWARD"&amp;IF(G115=G$1," TO SUMMARY (Page C"&amp;Page_A&amp;")","")</f>
        <v>TOTAL CARRIED FORWARD TO SUMMARY (Page C49)</v>
      </c>
      <c r="D115" s="33"/>
      <c r="E115" s="34"/>
      <c r="F115" s="515"/>
      <c r="G115" s="352">
        <f>SUM(G66:G114)</f>
        <v>300000</v>
      </c>
      <c r="H115" s="36"/>
      <c r="J115" s="33"/>
      <c r="K115" s="33"/>
      <c r="L115" s="33"/>
      <c r="M115" s="33"/>
    </row>
  </sheetData>
  <mergeCells count="14">
    <mergeCell ref="B58:D58"/>
    <mergeCell ref="E58:G60"/>
    <mergeCell ref="B59:D59"/>
    <mergeCell ref="B60:D60"/>
    <mergeCell ref="B61:F61"/>
    <mergeCell ref="G61:G64"/>
    <mergeCell ref="B62:F64"/>
    <mergeCell ref="E2:G4"/>
    <mergeCell ref="B2:D2"/>
    <mergeCell ref="B3:D3"/>
    <mergeCell ref="B4:D4"/>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9"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7" max="6" man="1"/>
  </rowBreaks>
  <colBreaks count="1" manualBreakCount="1">
    <brk id="7" min="1" max="89" man="1"/>
  </colBreaks>
  <extLst>
    <ext xmlns:x14="http://schemas.microsoft.com/office/spreadsheetml/2009/9/main" uri="{78C0D931-6437-407d-A8EE-F0AAD7539E65}">
      <x14:conditionalFormattings>
        <x14:conditionalFormatting xmlns:xm="http://schemas.microsoft.com/office/excel/2006/main">
          <x14:cfRule type="expression" priority="10" id="{82FCE9EE-5AF1-401C-A6D8-F51D7F59CCA6}">
            <xm:f>AND(Information!$C$8=FALSE,$D10&lt;&gt;"P C Sum",$D10&lt;&gt;"PC Sum",$D10&lt;&gt;"P Sum",$D10&lt;&gt;"Prov Sum")</xm:f>
            <x14:dxf>
              <font>
                <strike val="0"/>
                <color theme="0"/>
              </font>
              <numFmt numFmtId="4" formatCode="#,##0.00"/>
            </x14:dxf>
          </x14:cfRule>
          <xm:sqref>F114:G114 F10:G57 F67:G73</xm:sqref>
        </x14:conditionalFormatting>
        <x14:conditionalFormatting xmlns:xm="http://schemas.microsoft.com/office/excel/2006/main">
          <x14:cfRule type="expression" priority="7" id="{122E7ADF-F781-436C-9EDC-98944F7AA1BB}">
            <xm:f>AND(Information!$C$8=FALSE,$D115&lt;&gt;"P C Sum",$D115&lt;&gt;"PC Sum",$D115&lt;&gt;"P Sum",$D115&lt;&gt;"Prov Sum")</xm:f>
            <x14:dxf>
              <font>
                <strike val="0"/>
                <color theme="0"/>
              </font>
              <numFmt numFmtId="4" formatCode="#,##0.00"/>
            </x14:dxf>
          </x14:cfRule>
          <xm:sqref>G115</xm:sqref>
        </x14:conditionalFormatting>
        <x14:conditionalFormatting xmlns:xm="http://schemas.microsoft.com/office/excel/2006/main">
          <x14:cfRule type="expression" priority="1" id="{392BD6A7-CD31-48F1-B93F-E3A15A02B07E}">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tabColor rgb="FF00B050"/>
  </sheetPr>
  <dimension ref="B1:M73"/>
  <sheetViews>
    <sheetView view="pageBreakPreview" topLeftCell="A19" zoomScaleNormal="125" zoomScaleSheetLayoutView="100" zoomScalePageLayoutView="125" workbookViewId="0">
      <selection activeCell="F26" sqref="F26"/>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1" customWidth="1"/>
    <col min="14" max="16384" width="6.85546875" style="1"/>
  </cols>
  <sheetData>
    <row r="1" spans="2:13" x14ac:dyDescent="0.2">
      <c r="G1" s="166">
        <f>MAX(G9:G500)</f>
        <v>0</v>
      </c>
    </row>
    <row r="2" spans="2:13" x14ac:dyDescent="0.2">
      <c r="B2" s="2" t="str">
        <f>Client1</f>
        <v>Province of KwaZulu-Natal</v>
      </c>
      <c r="E2" s="703" t="str">
        <f>"Contract No. "&amp;ContractNo</f>
        <v>Contract No. ZNB02287/00000/00/MET/INF/24/T</v>
      </c>
      <c r="F2" s="703"/>
      <c r="G2" s="703"/>
      <c r="J2" s="293"/>
      <c r="K2" s="293">
        <f>MAX(K3:K245)</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C1.3</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25" t="str">
        <f t="shared" ref="G10:G15" si="0">IF(D10="","",E10*F10)</f>
        <v/>
      </c>
      <c r="H10" s="18"/>
      <c r="J10" s="16"/>
      <c r="K10" s="16"/>
      <c r="L10" s="16"/>
      <c r="M10" s="16"/>
    </row>
    <row r="11" spans="2:13" ht="25.5" x14ac:dyDescent="0.2">
      <c r="B11" s="67" t="s">
        <v>41</v>
      </c>
      <c r="C11" s="20" t="s">
        <v>42</v>
      </c>
      <c r="D11" s="22"/>
      <c r="E11" s="22"/>
      <c r="F11" s="16"/>
      <c r="G11" s="25" t="str">
        <f t="shared" si="0"/>
        <v/>
      </c>
      <c r="H11" s="42"/>
      <c r="J11" s="41"/>
      <c r="K11" s="41"/>
      <c r="L11" s="41"/>
      <c r="M11" s="41"/>
    </row>
    <row r="12" spans="2:13" x14ac:dyDescent="0.2">
      <c r="B12" s="51"/>
      <c r="C12" s="14"/>
      <c r="D12" s="22"/>
      <c r="E12" s="22"/>
      <c r="F12" s="510"/>
      <c r="G12" s="25" t="str">
        <f t="shared" si="0"/>
        <v/>
      </c>
      <c r="H12" s="42"/>
      <c r="J12" s="41"/>
      <c r="K12" s="41"/>
      <c r="L12" s="41"/>
      <c r="M12" s="41"/>
    </row>
    <row r="13" spans="2:13" x14ac:dyDescent="0.2">
      <c r="B13" s="51" t="s">
        <v>43</v>
      </c>
      <c r="C13" s="14" t="s">
        <v>44</v>
      </c>
      <c r="D13" s="22"/>
      <c r="E13" s="22"/>
      <c r="F13" s="510"/>
      <c r="G13" s="25" t="str">
        <f t="shared" si="0"/>
        <v/>
      </c>
      <c r="H13" s="42"/>
      <c r="J13" s="41"/>
      <c r="K13" s="41"/>
      <c r="L13" s="41"/>
      <c r="M13" s="41"/>
    </row>
    <row r="14" spans="2:13" x14ac:dyDescent="0.2">
      <c r="B14" s="51"/>
      <c r="C14" s="14"/>
      <c r="D14" s="22"/>
      <c r="E14" s="22"/>
      <c r="F14" s="510"/>
      <c r="G14" s="25" t="str">
        <f t="shared" si="0"/>
        <v/>
      </c>
      <c r="H14" s="42"/>
      <c r="J14" s="41"/>
      <c r="K14" s="41"/>
      <c r="L14" s="41"/>
      <c r="M14" s="41"/>
    </row>
    <row r="15" spans="2:13" x14ac:dyDescent="0.2">
      <c r="B15" s="51" t="s">
        <v>45</v>
      </c>
      <c r="C15" s="14" t="s">
        <v>47</v>
      </c>
      <c r="D15" s="22" t="s">
        <v>11</v>
      </c>
      <c r="E15" s="23">
        <v>1</v>
      </c>
      <c r="F15" s="510"/>
      <c r="G15" s="25">
        <f t="shared" si="0"/>
        <v>0</v>
      </c>
      <c r="H15" s="43"/>
      <c r="J15" s="16"/>
      <c r="K15" s="16"/>
      <c r="L15" s="16"/>
      <c r="M15" s="16"/>
    </row>
    <row r="16" spans="2:13" x14ac:dyDescent="0.2">
      <c r="B16" s="51"/>
      <c r="C16" s="14"/>
      <c r="D16" s="22"/>
      <c r="E16" s="23"/>
      <c r="F16" s="510"/>
      <c r="G16" s="25"/>
      <c r="H16" s="43"/>
      <c r="J16" s="41"/>
      <c r="K16" s="41"/>
      <c r="L16" s="41"/>
      <c r="M16" s="41"/>
    </row>
    <row r="17" spans="2:13" x14ac:dyDescent="0.2">
      <c r="B17" s="51" t="s">
        <v>46</v>
      </c>
      <c r="C17" s="14" t="s">
        <v>48</v>
      </c>
      <c r="D17" s="22" t="s">
        <v>17</v>
      </c>
      <c r="E17" s="152">
        <f>_Duration</f>
        <v>36</v>
      </c>
      <c r="F17" s="510"/>
      <c r="G17" s="25">
        <f>IF(D17="","",E17*F17)</f>
        <v>0</v>
      </c>
      <c r="H17" s="43"/>
      <c r="J17" s="41"/>
      <c r="K17" s="41"/>
      <c r="L17" s="41"/>
      <c r="M17" s="41"/>
    </row>
    <row r="18" spans="2:13" x14ac:dyDescent="0.2">
      <c r="B18" s="51"/>
      <c r="C18" s="14"/>
      <c r="D18" s="22"/>
      <c r="E18" s="23"/>
      <c r="F18" s="510"/>
      <c r="G18" s="25" t="str">
        <f>IF(D18="","",E18*F18)</f>
        <v/>
      </c>
      <c r="H18" s="42"/>
      <c r="J18" s="41"/>
      <c r="K18" s="41"/>
      <c r="L18" s="41"/>
      <c r="M18" s="41"/>
    </row>
    <row r="19" spans="2:13" ht="14.25" x14ac:dyDescent="0.2">
      <c r="B19" s="51" t="s">
        <v>49</v>
      </c>
      <c r="C19" s="14" t="s">
        <v>50</v>
      </c>
      <c r="D19" s="22" t="s">
        <v>51</v>
      </c>
      <c r="E19" s="23">
        <v>24</v>
      </c>
      <c r="F19" s="510"/>
      <c r="G19" s="25">
        <f>IF(D19="","",E19*F19)</f>
        <v>0</v>
      </c>
      <c r="H19" s="42"/>
      <c r="J19" s="41">
        <f>_LabourRate*4/6*4</f>
        <v>0</v>
      </c>
      <c r="K19" s="41">
        <f>J19*E19</f>
        <v>0</v>
      </c>
      <c r="L19" s="41"/>
      <c r="M19" s="41"/>
    </row>
    <row r="20" spans="2:13" x14ac:dyDescent="0.2">
      <c r="B20" s="51"/>
      <c r="C20" s="14"/>
      <c r="D20" s="22"/>
      <c r="E20" s="23"/>
      <c r="F20" s="510"/>
      <c r="G20" s="25" t="str">
        <f>IF(D20="","",E20*F20)</f>
        <v/>
      </c>
      <c r="H20" s="45"/>
      <c r="J20" s="16"/>
      <c r="K20" s="16"/>
      <c r="L20" s="16"/>
      <c r="M20" s="16"/>
    </row>
    <row r="21" spans="2:13" ht="36" x14ac:dyDescent="0.2">
      <c r="B21" s="51"/>
      <c r="C21" s="154" t="s">
        <v>393</v>
      </c>
      <c r="D21" s="22"/>
      <c r="E21" s="22"/>
      <c r="F21" s="510"/>
      <c r="G21" s="25"/>
      <c r="H21" s="42"/>
      <c r="J21" s="41"/>
      <c r="K21" s="41"/>
      <c r="L21" s="41"/>
      <c r="M21" s="41"/>
    </row>
    <row r="22" spans="2:13" x14ac:dyDescent="0.2">
      <c r="B22" s="51"/>
      <c r="C22" s="14"/>
      <c r="D22" s="22"/>
      <c r="E22" s="22"/>
      <c r="F22" s="16"/>
      <c r="G22" s="25"/>
      <c r="H22" s="42"/>
      <c r="J22" s="41"/>
      <c r="K22" s="41"/>
      <c r="L22" s="41"/>
      <c r="M22" s="41"/>
    </row>
    <row r="23" spans="2:13" x14ac:dyDescent="0.2">
      <c r="B23" s="51"/>
      <c r="C23" s="14"/>
      <c r="D23" s="22"/>
      <c r="E23" s="22"/>
      <c r="F23" s="16"/>
      <c r="G23" s="25"/>
      <c r="H23" s="42"/>
      <c r="J23" s="41"/>
      <c r="K23" s="41"/>
      <c r="L23" s="41"/>
      <c r="M23" s="41"/>
    </row>
    <row r="24" spans="2:13" x14ac:dyDescent="0.2">
      <c r="B24" s="51"/>
      <c r="C24" s="14"/>
      <c r="D24" s="22"/>
      <c r="E24" s="22"/>
      <c r="F24" s="16"/>
      <c r="G24" s="25"/>
      <c r="H24" s="42"/>
      <c r="J24" s="41"/>
      <c r="K24" s="41"/>
      <c r="L24" s="41"/>
      <c r="M24" s="41"/>
    </row>
    <row r="25" spans="2:13" x14ac:dyDescent="0.2">
      <c r="B25" s="51"/>
      <c r="C25" s="14"/>
      <c r="D25" s="22"/>
      <c r="E25" s="22"/>
      <c r="F25" s="16"/>
      <c r="G25" s="25"/>
      <c r="H25" s="42"/>
      <c r="J25" s="16"/>
      <c r="K25" s="16"/>
      <c r="L25" s="16"/>
      <c r="M25" s="16"/>
    </row>
    <row r="26" spans="2:13" x14ac:dyDescent="0.2">
      <c r="B26" s="51"/>
      <c r="C26" s="14"/>
      <c r="D26" s="22"/>
      <c r="E26" s="22"/>
      <c r="F26" s="16"/>
      <c r="G26" s="25"/>
      <c r="H26" s="42"/>
      <c r="J26" s="40"/>
      <c r="K26" s="40"/>
      <c r="L26" s="40"/>
      <c r="M26" s="40"/>
    </row>
    <row r="27" spans="2:13" x14ac:dyDescent="0.2">
      <c r="B27" s="51"/>
      <c r="C27" s="14"/>
      <c r="D27" s="22"/>
      <c r="E27" s="22"/>
      <c r="F27" s="16"/>
      <c r="G27" s="25"/>
      <c r="H27" s="42"/>
      <c r="J27" s="40"/>
      <c r="K27" s="40"/>
      <c r="L27" s="40"/>
      <c r="M27" s="40"/>
    </row>
    <row r="28" spans="2:13" x14ac:dyDescent="0.2">
      <c r="B28" s="51"/>
      <c r="C28" s="14"/>
      <c r="D28" s="22"/>
      <c r="E28" s="22"/>
      <c r="F28" s="16"/>
      <c r="G28" s="25"/>
      <c r="H28" s="42"/>
      <c r="J28" s="40"/>
      <c r="K28" s="40"/>
      <c r="L28" s="40"/>
      <c r="M28" s="40"/>
    </row>
    <row r="29" spans="2:13" x14ac:dyDescent="0.2">
      <c r="B29" s="51"/>
      <c r="C29" s="14"/>
      <c r="D29" s="22"/>
      <c r="E29" s="22"/>
      <c r="F29" s="16"/>
      <c r="G29" s="25"/>
      <c r="H29" s="42"/>
      <c r="J29" s="40"/>
      <c r="K29" s="40"/>
      <c r="L29" s="40"/>
      <c r="M29" s="40"/>
    </row>
    <row r="30" spans="2:13" x14ac:dyDescent="0.2">
      <c r="B30" s="51"/>
      <c r="C30" s="14"/>
      <c r="D30" s="22"/>
      <c r="E30" s="22"/>
      <c r="F30" s="16"/>
      <c r="G30" s="25"/>
      <c r="H30" s="42"/>
      <c r="J30" s="40"/>
      <c r="K30" s="40"/>
      <c r="L30" s="40"/>
      <c r="M30" s="40"/>
    </row>
    <row r="31" spans="2:13" x14ac:dyDescent="0.2">
      <c r="B31" s="51"/>
      <c r="C31" s="14"/>
      <c r="D31" s="22"/>
      <c r="E31" s="22"/>
      <c r="F31" s="16"/>
      <c r="G31" s="25"/>
      <c r="H31" s="42"/>
      <c r="J31" s="40"/>
      <c r="K31" s="40"/>
      <c r="L31" s="40"/>
      <c r="M31" s="40"/>
    </row>
    <row r="32" spans="2:13" x14ac:dyDescent="0.2">
      <c r="B32" s="51"/>
      <c r="C32" s="14"/>
      <c r="D32" s="22"/>
      <c r="E32" s="22"/>
      <c r="F32" s="16"/>
      <c r="G32" s="25"/>
      <c r="H32" s="42"/>
      <c r="J32" s="40"/>
      <c r="K32" s="40"/>
      <c r="L32" s="40"/>
      <c r="M32" s="40"/>
    </row>
    <row r="33" spans="2:13" x14ac:dyDescent="0.2">
      <c r="B33" s="51"/>
      <c r="C33" s="14"/>
      <c r="D33" s="22"/>
      <c r="E33" s="22"/>
      <c r="F33" s="16"/>
      <c r="G33" s="25"/>
      <c r="H33" s="42"/>
      <c r="J33" s="40"/>
      <c r="K33" s="40"/>
      <c r="L33" s="40"/>
      <c r="M33" s="40"/>
    </row>
    <row r="34" spans="2:13" x14ac:dyDescent="0.2">
      <c r="B34" s="51"/>
      <c r="C34" s="14"/>
      <c r="D34" s="22"/>
      <c r="E34" s="22"/>
      <c r="F34" s="16"/>
      <c r="G34" s="25"/>
      <c r="H34" s="42"/>
      <c r="J34" s="40"/>
      <c r="K34" s="40"/>
      <c r="L34" s="40"/>
      <c r="M34" s="40"/>
    </row>
    <row r="35" spans="2:13" x14ac:dyDescent="0.2">
      <c r="B35" s="51"/>
      <c r="C35" s="14"/>
      <c r="D35" s="22"/>
      <c r="E35" s="22"/>
      <c r="F35" s="16"/>
      <c r="G35" s="25"/>
      <c r="H35" s="42"/>
      <c r="J35" s="40"/>
      <c r="K35" s="40"/>
      <c r="L35" s="40"/>
      <c r="M35" s="40"/>
    </row>
    <row r="36" spans="2:13" x14ac:dyDescent="0.2">
      <c r="B36" s="51"/>
      <c r="C36" s="14"/>
      <c r="D36" s="22"/>
      <c r="E36" s="22"/>
      <c r="F36" s="16"/>
      <c r="G36" s="25"/>
      <c r="H36" s="42"/>
      <c r="J36" s="40"/>
      <c r="K36" s="40"/>
      <c r="L36" s="40"/>
      <c r="M36" s="40"/>
    </row>
    <row r="37" spans="2:13" x14ac:dyDescent="0.2">
      <c r="B37" s="51"/>
      <c r="C37" s="14"/>
      <c r="D37" s="22"/>
      <c r="E37" s="22"/>
      <c r="F37" s="16"/>
      <c r="G37" s="25"/>
      <c r="H37" s="42"/>
      <c r="J37" s="40"/>
      <c r="K37" s="40"/>
      <c r="L37" s="40"/>
      <c r="M37" s="40"/>
    </row>
    <row r="38" spans="2:13" x14ac:dyDescent="0.2">
      <c r="B38" s="51"/>
      <c r="C38" s="14"/>
      <c r="D38" s="22"/>
      <c r="E38" s="22"/>
      <c r="F38" s="16"/>
      <c r="G38" s="25"/>
      <c r="H38" s="42"/>
      <c r="J38" s="40"/>
      <c r="K38" s="40"/>
      <c r="L38" s="40"/>
      <c r="M38" s="40"/>
    </row>
    <row r="39" spans="2:13" x14ac:dyDescent="0.2">
      <c r="B39" s="51"/>
      <c r="C39" s="14"/>
      <c r="D39" s="22"/>
      <c r="E39" s="22"/>
      <c r="F39" s="16"/>
      <c r="G39" s="25"/>
      <c r="H39" s="42"/>
      <c r="J39" s="40"/>
      <c r="K39" s="40"/>
      <c r="L39" s="40"/>
      <c r="M39" s="40"/>
    </row>
    <row r="40" spans="2:13" x14ac:dyDescent="0.2">
      <c r="B40" s="51"/>
      <c r="C40" s="14"/>
      <c r="D40" s="22"/>
      <c r="E40" s="22"/>
      <c r="F40" s="16"/>
      <c r="G40" s="25"/>
      <c r="H40" s="42"/>
      <c r="J40" s="40"/>
      <c r="K40" s="40"/>
      <c r="L40" s="40"/>
      <c r="M40" s="40"/>
    </row>
    <row r="41" spans="2:13" x14ac:dyDescent="0.2">
      <c r="B41" s="51"/>
      <c r="C41" s="14"/>
      <c r="D41" s="22"/>
      <c r="E41" s="22"/>
      <c r="F41" s="16"/>
      <c r="G41" s="25"/>
      <c r="H41" s="42"/>
      <c r="J41" s="40"/>
      <c r="K41" s="40"/>
      <c r="L41" s="40"/>
      <c r="M41" s="40"/>
    </row>
    <row r="42" spans="2:13" x14ac:dyDescent="0.2">
      <c r="B42" s="51"/>
      <c r="C42" s="14"/>
      <c r="D42" s="22"/>
      <c r="E42" s="22"/>
      <c r="F42" s="16"/>
      <c r="G42" s="25"/>
      <c r="H42" s="42"/>
      <c r="J42" s="40"/>
      <c r="K42" s="40"/>
      <c r="L42" s="40"/>
      <c r="M42" s="40"/>
    </row>
    <row r="43" spans="2:13" x14ac:dyDescent="0.2">
      <c r="B43" s="51"/>
      <c r="C43" s="14"/>
      <c r="D43" s="22"/>
      <c r="E43" s="22"/>
      <c r="F43" s="16"/>
      <c r="G43" s="25"/>
      <c r="H43" s="42"/>
      <c r="J43" s="40"/>
      <c r="K43" s="40"/>
      <c r="L43" s="40"/>
      <c r="M43" s="40"/>
    </row>
    <row r="44" spans="2:13" x14ac:dyDescent="0.2">
      <c r="B44" s="51"/>
      <c r="C44" s="14"/>
      <c r="D44" s="22"/>
      <c r="E44" s="22"/>
      <c r="F44" s="16"/>
      <c r="G44" s="25"/>
      <c r="H44" s="42"/>
      <c r="J44" s="40"/>
      <c r="K44" s="40"/>
      <c r="L44" s="40"/>
      <c r="M44" s="40"/>
    </row>
    <row r="45" spans="2:13" x14ac:dyDescent="0.2">
      <c r="B45" s="51"/>
      <c r="C45" s="14"/>
      <c r="D45" s="22"/>
      <c r="E45" s="22"/>
      <c r="F45" s="16"/>
      <c r="G45" s="25"/>
      <c r="H45" s="42"/>
      <c r="J45" s="40"/>
      <c r="K45" s="40"/>
      <c r="L45" s="40"/>
      <c r="M45" s="40"/>
    </row>
    <row r="46" spans="2:13" x14ac:dyDescent="0.2">
      <c r="B46" s="51"/>
      <c r="C46" s="14"/>
      <c r="D46" s="22"/>
      <c r="E46" s="22"/>
      <c r="F46" s="16"/>
      <c r="G46" s="25"/>
      <c r="H46" s="42"/>
      <c r="J46" s="40"/>
      <c r="K46" s="40"/>
      <c r="L46" s="40"/>
      <c r="M46" s="40"/>
    </row>
    <row r="47" spans="2:13" x14ac:dyDescent="0.2">
      <c r="B47" s="51"/>
      <c r="C47" s="14"/>
      <c r="D47" s="22"/>
      <c r="E47" s="22"/>
      <c r="F47" s="16"/>
      <c r="G47" s="25"/>
      <c r="H47" s="42"/>
      <c r="J47" s="40"/>
      <c r="K47" s="40"/>
      <c r="L47" s="40"/>
      <c r="M47" s="40"/>
    </row>
    <row r="48" spans="2:13" x14ac:dyDescent="0.2">
      <c r="B48" s="51"/>
      <c r="C48" s="14"/>
      <c r="D48" s="22"/>
      <c r="E48" s="22"/>
      <c r="F48" s="16"/>
      <c r="G48" s="25"/>
      <c r="H48" s="42"/>
      <c r="J48" s="40"/>
      <c r="K48" s="40"/>
      <c r="L48" s="40"/>
      <c r="M48" s="40"/>
    </row>
    <row r="49" spans="2:13" x14ac:dyDescent="0.2">
      <c r="B49" s="51"/>
      <c r="C49" s="14"/>
      <c r="D49" s="22"/>
      <c r="E49" s="22"/>
      <c r="F49" s="16"/>
      <c r="G49" s="25"/>
      <c r="H49" s="42"/>
      <c r="J49" s="40"/>
      <c r="K49" s="40"/>
      <c r="L49" s="40"/>
      <c r="M49" s="40"/>
    </row>
    <row r="50" spans="2:13" x14ac:dyDescent="0.2">
      <c r="B50" s="51"/>
      <c r="C50" s="14"/>
      <c r="D50" s="22"/>
      <c r="E50" s="22"/>
      <c r="F50" s="16"/>
      <c r="G50" s="25"/>
      <c r="H50" s="42"/>
      <c r="J50" s="40"/>
      <c r="K50" s="40"/>
      <c r="L50" s="40"/>
      <c r="M50" s="40"/>
    </row>
    <row r="51" spans="2:13" x14ac:dyDescent="0.2">
      <c r="B51" s="51"/>
      <c r="C51" s="14"/>
      <c r="D51" s="22"/>
      <c r="E51" s="22"/>
      <c r="F51" s="16"/>
      <c r="G51" s="25"/>
      <c r="H51" s="42"/>
      <c r="J51" s="40"/>
      <c r="K51" s="40"/>
      <c r="L51" s="40"/>
      <c r="M51" s="40"/>
    </row>
    <row r="52" spans="2:13" x14ac:dyDescent="0.2">
      <c r="B52" s="51"/>
      <c r="C52" s="14"/>
      <c r="D52" s="22"/>
      <c r="E52" s="22"/>
      <c r="F52" s="16"/>
      <c r="G52" s="25"/>
      <c r="H52" s="42"/>
      <c r="J52" s="40"/>
      <c r="K52" s="40"/>
      <c r="L52" s="40"/>
      <c r="M52" s="40"/>
    </row>
    <row r="53" spans="2:13" x14ac:dyDescent="0.2">
      <c r="B53" s="51"/>
      <c r="C53" s="14"/>
      <c r="D53" s="22"/>
      <c r="E53" s="22"/>
      <c r="F53" s="16"/>
      <c r="G53" s="25"/>
      <c r="H53" s="42"/>
      <c r="J53" s="40"/>
      <c r="K53" s="40"/>
      <c r="L53" s="40"/>
      <c r="M53" s="40"/>
    </row>
    <row r="54" spans="2:13" x14ac:dyDescent="0.2">
      <c r="B54" s="51"/>
      <c r="C54" s="14"/>
      <c r="D54" s="22"/>
      <c r="E54" s="22"/>
      <c r="F54" s="16"/>
      <c r="G54" s="25"/>
      <c r="H54" s="42"/>
      <c r="J54" s="40"/>
      <c r="K54" s="40"/>
      <c r="L54" s="40"/>
      <c r="M54" s="40"/>
    </row>
    <row r="55" spans="2:13" x14ac:dyDescent="0.2">
      <c r="B55" s="51"/>
      <c r="C55" s="14"/>
      <c r="D55" s="22"/>
      <c r="E55" s="22"/>
      <c r="F55" s="16"/>
      <c r="G55" s="25"/>
      <c r="H55" s="42"/>
      <c r="J55" s="40"/>
      <c r="K55" s="40"/>
      <c r="L55" s="40"/>
      <c r="M55" s="40"/>
    </row>
    <row r="56" spans="2:13" x14ac:dyDescent="0.2">
      <c r="B56" s="51"/>
      <c r="C56" s="14"/>
      <c r="D56" s="22"/>
      <c r="E56" s="22"/>
      <c r="F56" s="16"/>
      <c r="G56" s="25"/>
      <c r="H56" s="42"/>
      <c r="J56" s="40"/>
      <c r="K56" s="40"/>
      <c r="L56" s="40"/>
      <c r="M56" s="40"/>
    </row>
    <row r="57" spans="2:13" x14ac:dyDescent="0.2">
      <c r="B57" s="51"/>
      <c r="C57" s="14"/>
      <c r="D57" s="22"/>
      <c r="E57" s="22"/>
      <c r="F57" s="16"/>
      <c r="G57" s="25"/>
      <c r="H57" s="42"/>
      <c r="J57" s="40"/>
      <c r="K57" s="40"/>
      <c r="L57" s="40"/>
      <c r="M57" s="40"/>
    </row>
    <row r="58" spans="2:13" x14ac:dyDescent="0.2">
      <c r="B58" s="51"/>
      <c r="C58" s="14"/>
      <c r="D58" s="22"/>
      <c r="E58" s="22"/>
      <c r="F58" s="16"/>
      <c r="G58" s="25"/>
      <c r="H58" s="42"/>
      <c r="J58" s="40"/>
      <c r="K58" s="40"/>
      <c r="L58" s="40"/>
      <c r="M58" s="40"/>
    </row>
    <row r="59" spans="2:13" x14ac:dyDescent="0.2">
      <c r="B59" s="51"/>
      <c r="C59" s="14"/>
      <c r="D59" s="22"/>
      <c r="E59" s="22"/>
      <c r="F59" s="16"/>
      <c r="G59" s="25"/>
      <c r="H59" s="42"/>
      <c r="J59" s="40"/>
      <c r="K59" s="40"/>
      <c r="L59" s="40"/>
      <c r="M59" s="40"/>
    </row>
    <row r="60" spans="2:13" x14ac:dyDescent="0.2">
      <c r="B60" s="51"/>
      <c r="C60" s="14"/>
      <c r="D60" s="22"/>
      <c r="E60" s="22"/>
      <c r="F60" s="16"/>
      <c r="G60" s="25"/>
      <c r="H60" s="42"/>
      <c r="J60" s="40"/>
      <c r="K60" s="40"/>
      <c r="L60" s="40"/>
      <c r="M60" s="40"/>
    </row>
    <row r="61" spans="2:13" x14ac:dyDescent="0.2">
      <c r="B61" s="51"/>
      <c r="C61" s="14"/>
      <c r="D61" s="22"/>
      <c r="E61" s="22"/>
      <c r="F61" s="16"/>
      <c r="G61" s="25"/>
      <c r="H61" s="42"/>
      <c r="J61" s="40"/>
      <c r="K61" s="40"/>
      <c r="L61" s="40"/>
      <c r="M61" s="40"/>
    </row>
    <row r="62" spans="2:13" x14ac:dyDescent="0.2">
      <c r="B62" s="51"/>
      <c r="C62" s="14"/>
      <c r="D62" s="22"/>
      <c r="E62" s="22"/>
      <c r="F62" s="16"/>
      <c r="G62" s="25"/>
      <c r="H62" s="42"/>
      <c r="J62" s="40"/>
      <c r="K62" s="40"/>
      <c r="L62" s="40"/>
      <c r="M62" s="40"/>
    </row>
    <row r="63" spans="2:13" x14ac:dyDescent="0.2">
      <c r="B63" s="51"/>
      <c r="C63" s="14"/>
      <c r="D63" s="22"/>
      <c r="E63" s="22"/>
      <c r="F63" s="16"/>
      <c r="G63" s="25"/>
      <c r="H63" s="42"/>
      <c r="J63" s="40"/>
      <c r="K63" s="40"/>
      <c r="L63" s="40"/>
      <c r="M63" s="40"/>
    </row>
    <row r="64" spans="2:13" x14ac:dyDescent="0.2">
      <c r="B64" s="51"/>
      <c r="C64" s="14"/>
      <c r="D64" s="22"/>
      <c r="E64" s="22"/>
      <c r="F64" s="16"/>
      <c r="G64" s="25"/>
      <c r="H64" s="42"/>
      <c r="J64" s="40"/>
      <c r="K64" s="40"/>
      <c r="L64" s="40"/>
      <c r="M64" s="40"/>
    </row>
    <row r="65" spans="2:13" x14ac:dyDescent="0.2">
      <c r="B65" s="51"/>
      <c r="C65" s="14"/>
      <c r="D65" s="22"/>
      <c r="E65" s="22"/>
      <c r="F65" s="16"/>
      <c r="G65" s="25"/>
      <c r="H65" s="42"/>
      <c r="J65" s="40"/>
      <c r="K65" s="40"/>
      <c r="L65" s="40"/>
      <c r="M65" s="40"/>
    </row>
    <row r="66" spans="2:13" x14ac:dyDescent="0.2">
      <c r="B66" s="51"/>
      <c r="C66" s="14"/>
      <c r="D66" s="22"/>
      <c r="E66" s="22"/>
      <c r="F66" s="16"/>
      <c r="G66" s="25"/>
      <c r="H66" s="42"/>
      <c r="J66" s="40"/>
      <c r="K66" s="40"/>
      <c r="L66" s="40"/>
      <c r="M66" s="40"/>
    </row>
    <row r="67" spans="2:13" x14ac:dyDescent="0.2">
      <c r="B67" s="51"/>
      <c r="C67" s="14"/>
      <c r="D67" s="22"/>
      <c r="E67" s="22"/>
      <c r="F67" s="16"/>
      <c r="G67" s="25"/>
      <c r="H67" s="42"/>
      <c r="J67" s="40"/>
      <c r="K67" s="40"/>
      <c r="L67" s="40"/>
      <c r="M67" s="40"/>
    </row>
    <row r="68" spans="2:13" x14ac:dyDescent="0.2">
      <c r="B68" s="51"/>
      <c r="C68" s="14"/>
      <c r="D68" s="22"/>
      <c r="E68" s="22"/>
      <c r="F68" s="16"/>
      <c r="G68" s="25"/>
      <c r="H68" s="42"/>
      <c r="J68" s="40"/>
      <c r="K68" s="40"/>
      <c r="L68" s="40"/>
      <c r="M68" s="40"/>
    </row>
    <row r="69" spans="2:13" x14ac:dyDescent="0.2">
      <c r="B69" s="51"/>
      <c r="C69" s="14"/>
      <c r="D69" s="22"/>
      <c r="E69" s="22"/>
      <c r="F69" s="16"/>
      <c r="G69" s="25"/>
      <c r="H69" s="42"/>
      <c r="J69" s="40"/>
      <c r="K69" s="40"/>
      <c r="L69" s="40"/>
      <c r="M69" s="40"/>
    </row>
    <row r="70" spans="2:13" x14ac:dyDescent="0.2">
      <c r="B70" s="51"/>
      <c r="C70" s="14"/>
      <c r="D70" s="22"/>
      <c r="E70" s="22"/>
      <c r="F70" s="16"/>
      <c r="G70" s="25"/>
      <c r="H70" s="42"/>
      <c r="J70" s="40"/>
      <c r="K70" s="40"/>
      <c r="L70" s="40"/>
      <c r="M70" s="40"/>
    </row>
    <row r="71" spans="2:13" x14ac:dyDescent="0.2">
      <c r="B71" s="51"/>
      <c r="C71" s="14"/>
      <c r="D71" s="22"/>
      <c r="E71" s="22"/>
      <c r="F71" s="16"/>
      <c r="G71" s="25"/>
      <c r="H71" s="42"/>
      <c r="J71" s="40"/>
      <c r="K71" s="40"/>
      <c r="L71" s="40"/>
      <c r="M71" s="40"/>
    </row>
    <row r="72" spans="2:13" x14ac:dyDescent="0.2">
      <c r="B72" s="51"/>
      <c r="C72" s="14"/>
      <c r="D72" s="22"/>
      <c r="E72" s="22"/>
      <c r="F72" s="16"/>
      <c r="G72" s="25"/>
      <c r="H72" s="42"/>
      <c r="J72" s="40"/>
      <c r="K72" s="40"/>
      <c r="L72" s="40"/>
      <c r="M72" s="40"/>
    </row>
    <row r="73" spans="2:13" s="30" customFormat="1" ht="24.95" customHeight="1" x14ac:dyDescent="0.2">
      <c r="B73" s="31" t="str">
        <f>B11</f>
        <v>C1.3</v>
      </c>
      <c r="C73" s="32" t="str">
        <f>"TOTAL CARRIED FORWARD"&amp;IF(G73=G$1," TO SUMMARY (Page C"&amp;Page_A&amp;")","")</f>
        <v>TOTAL CARRIED FORWARD TO SUMMARY (Page C49)</v>
      </c>
      <c r="D73" s="33"/>
      <c r="E73" s="34"/>
      <c r="F73" s="33"/>
      <c r="G73" s="352">
        <f>SUM(G10:G72)</f>
        <v>0</v>
      </c>
      <c r="H73" s="36"/>
      <c r="J73" s="33"/>
      <c r="K73" s="33"/>
      <c r="L73" s="33"/>
      <c r="M73" s="33"/>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77DB1714-331A-49DC-B74C-D170BC333603}">
            <xm:f>AND(Information!$C$8=FALSE,$D10&lt;&gt;"P C Sum",$D10&lt;&gt;"PC Sum",$D10&lt;&gt;"P Sum",$D10&lt;&gt;"Prov Sum")</xm:f>
            <x14:dxf>
              <font>
                <strike val="0"/>
                <color theme="0"/>
              </font>
              <numFmt numFmtId="4" formatCode="#,##0.00"/>
            </x14:dxf>
          </x14:cfRule>
          <xm:sqref>F10:G72</xm:sqref>
        </x14:conditionalFormatting>
        <x14:conditionalFormatting xmlns:xm="http://schemas.microsoft.com/office/excel/2006/main">
          <x14:cfRule type="expression" priority="1" id="{C7D1F558-87B7-4ADF-854A-E6E4D09349A3}">
            <xm:f>AND(Information!$C$8=FALSE,$D73&lt;&gt;"P C Sum",$D73&lt;&gt;"PC Sum",$D73&lt;&gt;"P Sum",$D73&lt;&gt;"Prov Sum")</xm:f>
            <x14:dxf>
              <font>
                <strike val="0"/>
                <color theme="0"/>
              </font>
              <numFmt numFmtId="4" formatCode="#,##0.00"/>
            </x14:dxf>
          </x14:cfRule>
          <xm:sqref>G73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5E22-0819-4877-AE8F-D8F2A910665C}">
  <sheetPr codeName="Sheet5">
    <tabColor rgb="FF00B050"/>
  </sheetPr>
  <dimension ref="B1:N55"/>
  <sheetViews>
    <sheetView view="pageBreakPreview" topLeftCell="A28" zoomScaleNormal="100" zoomScaleSheetLayoutView="100" zoomScalePageLayoutView="125" workbookViewId="0">
      <selection activeCell="F52" sqref="F52"/>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1" customWidth="1"/>
    <col min="14" max="16384" width="6.85546875" style="1"/>
  </cols>
  <sheetData>
    <row r="1" spans="2:13" x14ac:dyDescent="0.2">
      <c r="G1" s="166">
        <f>MAX(G9:G426)</f>
        <v>100000</v>
      </c>
    </row>
    <row r="2" spans="2:13" x14ac:dyDescent="0.2">
      <c r="B2" s="2" t="str">
        <f>Client1</f>
        <v>Province of KwaZulu-Natal</v>
      </c>
      <c r="E2" s="703" t="str">
        <f>"Contract No. "&amp;ContractNo</f>
        <v>Contract No. ZNB02287/00000/00/MET/INF/24/T</v>
      </c>
      <c r="F2" s="703"/>
      <c r="G2" s="703"/>
      <c r="J2" s="293"/>
      <c r="K2" s="293">
        <f>MAX(K3:K173)</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C1.5</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13"/>
      <c r="C10" s="14"/>
      <c r="D10" s="15"/>
      <c r="E10" s="15"/>
      <c r="F10" s="16"/>
      <c r="G10" s="25" t="str">
        <f t="shared" ref="G10:G15" si="0">IF(D10="","",E10*F10)</f>
        <v/>
      </c>
      <c r="H10" s="18"/>
      <c r="J10" s="16"/>
      <c r="K10" s="16"/>
      <c r="L10" s="16"/>
      <c r="M10" s="16"/>
    </row>
    <row r="11" spans="2:13" x14ac:dyDescent="0.2">
      <c r="B11" s="67" t="s">
        <v>422</v>
      </c>
      <c r="C11" s="20" t="s">
        <v>52</v>
      </c>
      <c r="D11" s="22"/>
      <c r="E11" s="22"/>
      <c r="F11" s="16"/>
      <c r="G11" s="25" t="str">
        <f t="shared" si="0"/>
        <v/>
      </c>
      <c r="H11" s="42"/>
      <c r="J11" s="41"/>
      <c r="K11" s="41"/>
      <c r="L11" s="41"/>
      <c r="M11" s="41"/>
    </row>
    <row r="12" spans="2:13" x14ac:dyDescent="0.2">
      <c r="B12" s="51"/>
      <c r="C12" s="14"/>
      <c r="D12" s="22"/>
      <c r="E12" s="22"/>
      <c r="F12" s="16"/>
      <c r="G12" s="25" t="str">
        <f t="shared" si="0"/>
        <v/>
      </c>
      <c r="H12" s="42"/>
      <c r="J12" s="41"/>
      <c r="K12" s="41"/>
      <c r="L12" s="41"/>
      <c r="M12" s="41"/>
    </row>
    <row r="13" spans="2:13" x14ac:dyDescent="0.2">
      <c r="B13" s="51"/>
      <c r="C13" s="14"/>
      <c r="D13" s="22"/>
      <c r="E13" s="23"/>
      <c r="F13" s="16"/>
      <c r="G13" s="25" t="str">
        <f t="shared" si="0"/>
        <v/>
      </c>
      <c r="J13" s="40"/>
      <c r="K13" s="40"/>
      <c r="L13" s="40"/>
      <c r="M13" s="40"/>
    </row>
    <row r="14" spans="2:13" x14ac:dyDescent="0.2">
      <c r="B14" s="51" t="s">
        <v>53</v>
      </c>
      <c r="C14" s="28" t="s">
        <v>54</v>
      </c>
      <c r="D14" s="22" t="s">
        <v>17</v>
      </c>
      <c r="E14" s="23">
        <f>_Duration</f>
        <v>36</v>
      </c>
      <c r="F14" s="16"/>
      <c r="G14" s="25">
        <f t="shared" si="0"/>
        <v>0</v>
      </c>
      <c r="J14" s="46">
        <f>2%*F14</f>
        <v>0</v>
      </c>
      <c r="K14" s="46">
        <f>IF(J14="","",J14*E14)</f>
        <v>0</v>
      </c>
      <c r="L14" s="46"/>
      <c r="M14" s="46"/>
    </row>
    <row r="15" spans="2:13" x14ac:dyDescent="0.2">
      <c r="B15" s="51"/>
      <c r="C15" s="28"/>
      <c r="D15" s="22"/>
      <c r="E15" s="23"/>
      <c r="F15" s="16"/>
      <c r="G15" s="25" t="str">
        <f t="shared" si="0"/>
        <v/>
      </c>
      <c r="J15" s="44"/>
      <c r="K15" s="46" t="str">
        <f t="shared" ref="K15:K55" si="1">IF(J15="","",J15*E15)</f>
        <v/>
      </c>
      <c r="L15" s="44"/>
      <c r="M15" s="44"/>
    </row>
    <row r="16" spans="2:13" x14ac:dyDescent="0.2">
      <c r="B16" s="51" t="s">
        <v>55</v>
      </c>
      <c r="C16" s="14" t="s">
        <v>56</v>
      </c>
      <c r="D16" s="22"/>
      <c r="E16" s="23"/>
      <c r="F16" s="16"/>
      <c r="G16" s="25"/>
      <c r="H16" s="42"/>
      <c r="J16" s="48"/>
      <c r="K16" s="46" t="str">
        <f t="shared" si="1"/>
        <v/>
      </c>
      <c r="L16" s="48"/>
      <c r="M16" s="48"/>
    </row>
    <row r="17" spans="2:14" x14ac:dyDescent="0.2">
      <c r="B17" s="51"/>
      <c r="C17" s="14"/>
      <c r="D17" s="22"/>
      <c r="E17" s="23"/>
      <c r="F17" s="16"/>
      <c r="G17" s="25"/>
      <c r="H17" s="42"/>
      <c r="J17" s="48"/>
      <c r="K17" s="46" t="str">
        <f t="shared" si="1"/>
        <v/>
      </c>
      <c r="L17" s="48"/>
      <c r="M17" s="48"/>
    </row>
    <row r="18" spans="2:14" x14ac:dyDescent="0.2">
      <c r="B18" s="51" t="s">
        <v>57</v>
      </c>
      <c r="C18" s="14" t="s">
        <v>62</v>
      </c>
      <c r="D18" s="22"/>
      <c r="E18" s="22"/>
      <c r="F18" s="16"/>
      <c r="G18" s="25" t="str">
        <f t="shared" ref="G18:G46" si="2">IF(D18="","",E18*F18)</f>
        <v/>
      </c>
      <c r="H18" s="42"/>
      <c r="J18" s="49"/>
      <c r="K18" s="46" t="str">
        <f t="shared" si="1"/>
        <v/>
      </c>
      <c r="L18" s="49"/>
      <c r="M18" s="49"/>
    </row>
    <row r="19" spans="2:14" x14ac:dyDescent="0.2">
      <c r="B19" s="51"/>
      <c r="C19" s="14"/>
      <c r="D19" s="22"/>
      <c r="E19" s="22"/>
      <c r="F19" s="16"/>
      <c r="G19" s="25" t="str">
        <f t="shared" si="2"/>
        <v/>
      </c>
      <c r="H19" s="42"/>
      <c r="J19" s="49"/>
      <c r="K19" s="46" t="str">
        <f t="shared" si="1"/>
        <v/>
      </c>
      <c r="L19" s="49"/>
      <c r="M19" s="49"/>
    </row>
    <row r="20" spans="2:14" ht="25.5" hidden="1" x14ac:dyDescent="0.2">
      <c r="B20" s="51" t="s">
        <v>34</v>
      </c>
      <c r="C20" s="14" t="s">
        <v>462</v>
      </c>
      <c r="D20" s="22" t="s">
        <v>33</v>
      </c>
      <c r="E20" s="22">
        <v>0</v>
      </c>
      <c r="F20" s="16"/>
      <c r="G20" s="25">
        <f t="shared" si="2"/>
        <v>0</v>
      </c>
      <c r="H20" s="42"/>
      <c r="J20" s="49">
        <f>F20*3%</f>
        <v>0</v>
      </c>
      <c r="K20" s="46">
        <f t="shared" si="1"/>
        <v>0</v>
      </c>
      <c r="L20" s="49"/>
      <c r="M20" s="49"/>
    </row>
    <row r="21" spans="2:14" hidden="1" x14ac:dyDescent="0.2">
      <c r="B21" s="51"/>
      <c r="C21" s="14"/>
      <c r="D21" s="22"/>
      <c r="E21" s="22"/>
      <c r="F21" s="16"/>
      <c r="G21" s="25" t="str">
        <f t="shared" si="2"/>
        <v/>
      </c>
      <c r="H21" s="42"/>
      <c r="J21" s="49"/>
      <c r="K21" s="46" t="str">
        <f t="shared" si="1"/>
        <v/>
      </c>
      <c r="L21" s="49"/>
      <c r="M21" s="49"/>
    </row>
    <row r="22" spans="2:14" ht="25.5" x14ac:dyDescent="0.2">
      <c r="B22" s="51" t="s">
        <v>35</v>
      </c>
      <c r="C22" s="14" t="s">
        <v>463</v>
      </c>
      <c r="D22" s="22" t="s">
        <v>33</v>
      </c>
      <c r="E22" s="22">
        <v>250</v>
      </c>
      <c r="F22" s="16"/>
      <c r="G22" s="25">
        <f t="shared" si="2"/>
        <v>0</v>
      </c>
      <c r="H22" s="42"/>
      <c r="J22" s="49">
        <f>F22*3%</f>
        <v>0</v>
      </c>
      <c r="K22" s="46">
        <f t="shared" si="1"/>
        <v>0</v>
      </c>
      <c r="L22" s="40"/>
      <c r="M22" s="40"/>
    </row>
    <row r="23" spans="2:14" x14ac:dyDescent="0.2">
      <c r="B23" s="51"/>
      <c r="C23" s="14"/>
      <c r="D23" s="22"/>
      <c r="E23" s="22"/>
      <c r="F23" s="16"/>
      <c r="G23" s="25" t="str">
        <f t="shared" si="2"/>
        <v/>
      </c>
      <c r="H23" s="42"/>
      <c r="J23" s="40"/>
      <c r="K23" s="46" t="str">
        <f t="shared" si="1"/>
        <v/>
      </c>
      <c r="L23" s="40"/>
      <c r="M23" s="40"/>
    </row>
    <row r="24" spans="2:14" x14ac:dyDescent="0.2">
      <c r="B24" s="51" t="s">
        <v>58</v>
      </c>
      <c r="C24" s="14" t="s">
        <v>63</v>
      </c>
      <c r="D24" s="22" t="s">
        <v>33</v>
      </c>
      <c r="E24" s="22">
        <v>250</v>
      </c>
      <c r="F24" s="16"/>
      <c r="G24" s="25">
        <f t="shared" si="2"/>
        <v>0</v>
      </c>
      <c r="H24" s="42"/>
      <c r="J24" s="49">
        <f>F24*3%</f>
        <v>0</v>
      </c>
      <c r="K24" s="46">
        <f t="shared" si="1"/>
        <v>0</v>
      </c>
      <c r="L24" s="40"/>
      <c r="M24" s="40"/>
    </row>
    <row r="25" spans="2:14" x14ac:dyDescent="0.2">
      <c r="B25" s="51"/>
      <c r="C25" s="14"/>
      <c r="D25" s="22"/>
      <c r="E25" s="22"/>
      <c r="F25" s="16"/>
      <c r="G25" s="25" t="str">
        <f t="shared" si="2"/>
        <v/>
      </c>
      <c r="H25" s="42"/>
      <c r="J25" s="40"/>
      <c r="K25" s="46" t="str">
        <f t="shared" si="1"/>
        <v/>
      </c>
      <c r="L25" s="40"/>
      <c r="M25" s="40"/>
    </row>
    <row r="26" spans="2:14" x14ac:dyDescent="0.2">
      <c r="B26" s="51" t="s">
        <v>59</v>
      </c>
      <c r="C26" s="14" t="s">
        <v>64</v>
      </c>
      <c r="D26" s="22" t="s">
        <v>99</v>
      </c>
      <c r="E26" s="22">
        <v>1584</v>
      </c>
      <c r="F26" s="16"/>
      <c r="G26" s="25">
        <f t="shared" si="2"/>
        <v>0</v>
      </c>
      <c r="H26" s="42"/>
      <c r="J26" s="40">
        <f>_LabourDaily</f>
        <v>0</v>
      </c>
      <c r="K26" s="46">
        <f t="shared" si="1"/>
        <v>0</v>
      </c>
      <c r="L26" s="40"/>
      <c r="M26" s="40"/>
    </row>
    <row r="27" spans="2:14" x14ac:dyDescent="0.2">
      <c r="B27" s="51"/>
      <c r="C27" s="14"/>
      <c r="D27" s="22"/>
      <c r="E27" s="22"/>
      <c r="F27" s="16"/>
      <c r="G27" s="25" t="str">
        <f t="shared" si="2"/>
        <v/>
      </c>
      <c r="H27" s="42"/>
      <c r="J27" s="40"/>
      <c r="K27" s="46" t="str">
        <f t="shared" si="1"/>
        <v/>
      </c>
      <c r="L27" s="40"/>
      <c r="M27" s="40"/>
    </row>
    <row r="28" spans="2:14" x14ac:dyDescent="0.2">
      <c r="B28" s="51" t="s">
        <v>60</v>
      </c>
      <c r="C28" s="14" t="s">
        <v>65</v>
      </c>
      <c r="D28" s="22" t="s">
        <v>99</v>
      </c>
      <c r="E28" s="22">
        <v>40</v>
      </c>
      <c r="F28" s="16"/>
      <c r="G28" s="25">
        <f t="shared" si="2"/>
        <v>0</v>
      </c>
      <c r="H28" s="42"/>
      <c r="J28" s="40">
        <f>_LabourDaily</f>
        <v>0</v>
      </c>
      <c r="K28" s="46">
        <f t="shared" si="1"/>
        <v>0</v>
      </c>
      <c r="L28" s="40"/>
      <c r="M28" s="40"/>
      <c r="N28" s="1">
        <f>2*20*22</f>
        <v>880</v>
      </c>
    </row>
    <row r="29" spans="2:14" x14ac:dyDescent="0.2">
      <c r="B29" s="51"/>
      <c r="C29" s="120"/>
      <c r="D29" s="22"/>
      <c r="E29" s="22"/>
      <c r="F29" s="16"/>
      <c r="G29" s="25" t="str">
        <f t="shared" si="2"/>
        <v/>
      </c>
      <c r="H29" s="42"/>
      <c r="J29" s="40"/>
      <c r="K29" s="46"/>
      <c r="L29" s="40"/>
      <c r="M29" s="40"/>
    </row>
    <row r="30" spans="2:14" x14ac:dyDescent="0.2">
      <c r="B30" s="51" t="s">
        <v>746</v>
      </c>
      <c r="C30" s="120" t="s">
        <v>747</v>
      </c>
      <c r="D30" s="22"/>
      <c r="E30" s="22"/>
      <c r="F30" s="16"/>
      <c r="G30" s="25" t="str">
        <f t="shared" si="2"/>
        <v/>
      </c>
      <c r="H30" s="42"/>
      <c r="J30" s="40"/>
      <c r="K30" s="46"/>
      <c r="L30" s="40"/>
      <c r="M30" s="40"/>
    </row>
    <row r="31" spans="2:14" x14ac:dyDescent="0.2">
      <c r="B31" s="51"/>
      <c r="C31" s="120"/>
      <c r="D31" s="22"/>
      <c r="E31" s="22"/>
      <c r="F31" s="16"/>
      <c r="G31" s="25" t="str">
        <f t="shared" si="2"/>
        <v/>
      </c>
      <c r="H31" s="42"/>
      <c r="J31" s="40"/>
      <c r="K31" s="46"/>
      <c r="L31" s="40"/>
      <c r="M31" s="40"/>
    </row>
    <row r="32" spans="2:14" x14ac:dyDescent="0.2">
      <c r="B32" s="51"/>
      <c r="C32" s="120" t="s">
        <v>748</v>
      </c>
      <c r="D32" s="22" t="s">
        <v>549</v>
      </c>
      <c r="E32" s="22">
        <v>20</v>
      </c>
      <c r="F32" s="16"/>
      <c r="G32" s="25">
        <f t="shared" si="2"/>
        <v>0</v>
      </c>
      <c r="H32" s="42"/>
      <c r="J32" s="40"/>
      <c r="K32" s="46"/>
      <c r="L32" s="40"/>
      <c r="M32" s="40"/>
    </row>
    <row r="33" spans="2:13" x14ac:dyDescent="0.2">
      <c r="B33" s="51"/>
      <c r="C33" s="120"/>
      <c r="D33" s="22"/>
      <c r="E33" s="22"/>
      <c r="F33" s="16"/>
      <c r="G33" s="25" t="str">
        <f t="shared" si="2"/>
        <v/>
      </c>
      <c r="H33" s="42"/>
      <c r="J33" s="40"/>
      <c r="K33" s="46"/>
      <c r="L33" s="40"/>
      <c r="M33" s="40"/>
    </row>
    <row r="34" spans="2:13" x14ac:dyDescent="0.2">
      <c r="B34" s="51"/>
      <c r="C34" s="120" t="s">
        <v>749</v>
      </c>
      <c r="D34" s="22" t="s">
        <v>549</v>
      </c>
      <c r="E34" s="22">
        <v>20</v>
      </c>
      <c r="F34" s="16"/>
      <c r="G34" s="25">
        <f t="shared" si="2"/>
        <v>0</v>
      </c>
      <c r="H34" s="42"/>
      <c r="J34" s="40"/>
      <c r="K34" s="46"/>
      <c r="L34" s="40"/>
      <c r="M34" s="40"/>
    </row>
    <row r="35" spans="2:13" x14ac:dyDescent="0.2">
      <c r="B35" s="51"/>
      <c r="C35" s="120"/>
      <c r="D35" s="22"/>
      <c r="E35" s="22"/>
      <c r="F35" s="16"/>
      <c r="G35" s="25"/>
      <c r="H35" s="42"/>
      <c r="J35" s="40"/>
      <c r="K35" s="46"/>
      <c r="L35" s="40"/>
      <c r="M35" s="40"/>
    </row>
    <row r="36" spans="2:13" x14ac:dyDescent="0.2">
      <c r="B36" s="51" t="s">
        <v>750</v>
      </c>
      <c r="C36" s="120" t="s">
        <v>751</v>
      </c>
      <c r="D36" s="22"/>
      <c r="E36" s="22"/>
      <c r="F36" s="16"/>
      <c r="G36" s="25"/>
      <c r="H36" s="42"/>
      <c r="J36" s="40"/>
      <c r="K36" s="46"/>
      <c r="L36" s="40"/>
      <c r="M36" s="40"/>
    </row>
    <row r="37" spans="2:13" x14ac:dyDescent="0.2">
      <c r="B37" s="51"/>
      <c r="C37" s="120"/>
      <c r="D37" s="22"/>
      <c r="E37" s="22"/>
      <c r="F37" s="16"/>
      <c r="G37" s="25"/>
      <c r="H37" s="42"/>
      <c r="J37" s="40"/>
      <c r="K37" s="46"/>
      <c r="L37" s="40"/>
      <c r="M37" s="40"/>
    </row>
    <row r="38" spans="2:13" ht="25.5" x14ac:dyDescent="0.2">
      <c r="B38" s="51"/>
      <c r="C38" s="120" t="s">
        <v>753</v>
      </c>
      <c r="D38" s="22" t="s">
        <v>549</v>
      </c>
      <c r="E38" s="22">
        <v>20</v>
      </c>
      <c r="F38" s="16"/>
      <c r="G38" s="25">
        <f t="shared" ref="G38:G40" si="3">IF(D38="","",E38*F38)</f>
        <v>0</v>
      </c>
      <c r="H38" s="42"/>
      <c r="J38" s="40"/>
      <c r="K38" s="46"/>
      <c r="L38" s="40"/>
      <c r="M38" s="40"/>
    </row>
    <row r="39" spans="2:13" x14ac:dyDescent="0.2">
      <c r="B39" s="51"/>
      <c r="C39" s="120"/>
      <c r="D39" s="22"/>
      <c r="E39" s="22"/>
      <c r="F39" s="16"/>
      <c r="G39" s="25" t="str">
        <f t="shared" si="3"/>
        <v/>
      </c>
      <c r="H39" s="42"/>
      <c r="J39" s="40"/>
      <c r="K39" s="46"/>
      <c r="L39" s="40"/>
      <c r="M39" s="40"/>
    </row>
    <row r="40" spans="2:13" ht="25.5" x14ac:dyDescent="0.2">
      <c r="B40" s="51"/>
      <c r="C40" s="120" t="s">
        <v>752</v>
      </c>
      <c r="D40" s="22" t="s">
        <v>549</v>
      </c>
      <c r="E40" s="22">
        <v>20</v>
      </c>
      <c r="F40" s="16"/>
      <c r="G40" s="25">
        <f t="shared" si="3"/>
        <v>0</v>
      </c>
      <c r="H40" s="42"/>
      <c r="J40" s="40"/>
      <c r="K40" s="46"/>
      <c r="L40" s="40"/>
      <c r="M40" s="40"/>
    </row>
    <row r="41" spans="2:13" x14ac:dyDescent="0.2">
      <c r="B41" s="51"/>
      <c r="C41" s="120"/>
      <c r="D41" s="22"/>
      <c r="E41" s="22"/>
      <c r="F41" s="16"/>
      <c r="G41" s="25"/>
      <c r="H41" s="42"/>
      <c r="J41" s="40"/>
      <c r="K41" s="46"/>
      <c r="L41" s="40"/>
      <c r="M41" s="40"/>
    </row>
    <row r="42" spans="2:13" x14ac:dyDescent="0.2">
      <c r="B42" s="51" t="s">
        <v>686</v>
      </c>
      <c r="C42" s="14" t="s">
        <v>687</v>
      </c>
      <c r="D42" s="22"/>
      <c r="E42" s="22"/>
      <c r="F42" s="16"/>
      <c r="G42" s="25" t="str">
        <f t="shared" si="2"/>
        <v/>
      </c>
      <c r="H42" s="42"/>
      <c r="J42" s="40"/>
      <c r="K42" s="46"/>
      <c r="L42" s="40"/>
      <c r="M42" s="40"/>
    </row>
    <row r="43" spans="2:13" x14ac:dyDescent="0.2">
      <c r="B43" s="51"/>
      <c r="C43" s="14"/>
      <c r="D43" s="22"/>
      <c r="E43" s="22"/>
      <c r="F43" s="16"/>
      <c r="G43" s="25" t="str">
        <f t="shared" si="2"/>
        <v/>
      </c>
      <c r="H43" s="42"/>
      <c r="J43" s="40"/>
      <c r="K43" s="46"/>
      <c r="L43" s="40"/>
      <c r="M43" s="40"/>
    </row>
    <row r="44" spans="2:13" x14ac:dyDescent="0.2">
      <c r="B44" s="51" t="s">
        <v>35</v>
      </c>
      <c r="C44" s="14" t="s">
        <v>713</v>
      </c>
      <c r="D44" s="22" t="s">
        <v>6</v>
      </c>
      <c r="E44" s="22">
        <v>120</v>
      </c>
      <c r="F44" s="16"/>
      <c r="G44" s="25">
        <f t="shared" si="2"/>
        <v>0</v>
      </c>
      <c r="H44" s="42"/>
      <c r="J44" s="40"/>
      <c r="K44" s="46"/>
      <c r="L44" s="40"/>
      <c r="M44" s="40"/>
    </row>
    <row r="45" spans="2:13" x14ac:dyDescent="0.2">
      <c r="B45" s="51"/>
      <c r="C45" s="14"/>
      <c r="D45" s="22"/>
      <c r="E45" s="22"/>
      <c r="F45" s="16"/>
      <c r="G45" s="25" t="str">
        <f t="shared" si="2"/>
        <v/>
      </c>
      <c r="H45" s="42"/>
      <c r="J45" s="40"/>
      <c r="K45" s="46"/>
      <c r="L45" s="40"/>
      <c r="M45" s="40"/>
    </row>
    <row r="46" spans="2:13" x14ac:dyDescent="0.2">
      <c r="B46" s="51" t="s">
        <v>40</v>
      </c>
      <c r="C46" s="14" t="s">
        <v>714</v>
      </c>
      <c r="D46" s="22" t="s">
        <v>6</v>
      </c>
      <c r="E46" s="22">
        <v>45</v>
      </c>
      <c r="F46" s="16"/>
      <c r="G46" s="25">
        <f t="shared" si="2"/>
        <v>0</v>
      </c>
      <c r="H46" s="42"/>
      <c r="J46" s="40"/>
      <c r="K46" s="46"/>
      <c r="L46" s="40"/>
      <c r="M46" s="40"/>
    </row>
    <row r="47" spans="2:13" x14ac:dyDescent="0.2">
      <c r="B47" s="51"/>
      <c r="C47" s="27"/>
      <c r="D47" s="22"/>
      <c r="E47" s="22"/>
      <c r="F47" s="16"/>
      <c r="G47" s="25" t="str">
        <f t="shared" ref="G47:G52" si="4">IF(D47="","",E47*F47)</f>
        <v/>
      </c>
      <c r="H47" s="42"/>
      <c r="J47" s="40"/>
      <c r="K47" s="46" t="str">
        <f t="shared" si="1"/>
        <v/>
      </c>
      <c r="L47" s="40"/>
      <c r="M47" s="40"/>
    </row>
    <row r="48" spans="2:13" x14ac:dyDescent="0.2">
      <c r="B48" s="51" t="s">
        <v>61</v>
      </c>
      <c r="C48" s="14" t="s">
        <v>68</v>
      </c>
      <c r="D48" s="22" t="s">
        <v>17</v>
      </c>
      <c r="E48" s="22">
        <v>36</v>
      </c>
      <c r="F48" s="16"/>
      <c r="G48" s="25">
        <f t="shared" si="4"/>
        <v>0</v>
      </c>
      <c r="H48" s="42"/>
      <c r="J48" s="40">
        <f>10%*F48</f>
        <v>0</v>
      </c>
      <c r="K48" s="46">
        <f t="shared" si="1"/>
        <v>0</v>
      </c>
      <c r="L48" s="40"/>
      <c r="M48" s="40"/>
    </row>
    <row r="49" spans="2:13" x14ac:dyDescent="0.2">
      <c r="B49" s="51"/>
      <c r="C49" s="14"/>
      <c r="D49" s="22"/>
      <c r="E49" s="22"/>
      <c r="F49" s="16"/>
      <c r="G49" s="25" t="str">
        <f t="shared" si="4"/>
        <v/>
      </c>
      <c r="H49" s="42"/>
      <c r="J49" s="40"/>
      <c r="K49" s="46"/>
      <c r="L49" s="40"/>
      <c r="M49" s="40"/>
    </row>
    <row r="50" spans="2:13" ht="25.5" x14ac:dyDescent="0.2">
      <c r="B50" s="443" t="s">
        <v>754</v>
      </c>
      <c r="C50" s="441" t="s">
        <v>755</v>
      </c>
      <c r="D50" s="442" t="s">
        <v>170</v>
      </c>
      <c r="E50" s="23">
        <v>1</v>
      </c>
      <c r="F50" s="16">
        <v>100000</v>
      </c>
      <c r="G50" s="25">
        <f t="shared" si="4"/>
        <v>100000</v>
      </c>
      <c r="H50" s="42"/>
      <c r="J50" s="40"/>
      <c r="K50" s="46"/>
      <c r="L50" s="40"/>
      <c r="M50" s="40"/>
    </row>
    <row r="51" spans="2:13" x14ac:dyDescent="0.2">
      <c r="B51" s="444"/>
      <c r="C51" s="441"/>
      <c r="D51" s="442"/>
      <c r="E51" s="23"/>
      <c r="F51" s="16"/>
      <c r="G51" s="25" t="str">
        <f t="shared" si="4"/>
        <v/>
      </c>
      <c r="H51" s="42"/>
      <c r="J51" s="40"/>
      <c r="K51" s="46"/>
      <c r="L51" s="40"/>
      <c r="M51" s="40"/>
    </row>
    <row r="52" spans="2:13" ht="25.5" x14ac:dyDescent="0.2">
      <c r="B52" s="444" t="s">
        <v>756</v>
      </c>
      <c r="C52" s="441" t="s">
        <v>757</v>
      </c>
      <c r="D52" s="442" t="s">
        <v>25</v>
      </c>
      <c r="E52" s="685">
        <v>0.1</v>
      </c>
      <c r="F52" s="16"/>
      <c r="G52" s="25">
        <f t="shared" si="4"/>
        <v>0</v>
      </c>
      <c r="H52" s="42"/>
      <c r="J52" s="40"/>
      <c r="K52" s="46"/>
      <c r="L52" s="40"/>
      <c r="M52" s="40"/>
    </row>
    <row r="53" spans="2:13" x14ac:dyDescent="0.2">
      <c r="B53" s="371"/>
      <c r="C53" s="369"/>
      <c r="D53" s="370"/>
      <c r="E53" s="244"/>
      <c r="F53" s="16"/>
      <c r="G53" s="25"/>
      <c r="H53" s="42"/>
      <c r="J53" s="40"/>
      <c r="K53" s="46"/>
      <c r="L53" s="40"/>
      <c r="M53" s="40"/>
    </row>
    <row r="54" spans="2:13" x14ac:dyDescent="0.2">
      <c r="B54" s="51"/>
      <c r="C54" s="14"/>
      <c r="D54" s="22"/>
      <c r="E54" s="22"/>
      <c r="F54" s="16"/>
      <c r="G54" s="25" t="str">
        <f>IF(D54="","",E54*F54)</f>
        <v/>
      </c>
      <c r="H54" s="42"/>
      <c r="J54" s="40"/>
      <c r="K54" s="46" t="str">
        <f t="shared" si="1"/>
        <v/>
      </c>
      <c r="L54" s="40"/>
      <c r="M54" s="40"/>
    </row>
    <row r="55" spans="2:13" s="30" customFormat="1" ht="20.100000000000001" customHeight="1" x14ac:dyDescent="0.2">
      <c r="B55" s="74" t="str">
        <f>$B$11</f>
        <v>C1.5</v>
      </c>
      <c r="C55" s="32" t="str">
        <f>"TOTAL CARRIED FORWARD"&amp;IF(G55=G$1," TO SUMMARY (Page C"&amp;Page_A&amp;")","")</f>
        <v>TOTAL CARRIED FORWARD TO SUMMARY (Page C49)</v>
      </c>
      <c r="D55" s="33"/>
      <c r="E55" s="34"/>
      <c r="F55" s="33"/>
      <c r="G55" s="352">
        <f>SUM(G10:G54)</f>
        <v>100000</v>
      </c>
      <c r="H55" s="36"/>
      <c r="J55" s="33"/>
      <c r="K55" s="46" t="str">
        <f t="shared" si="1"/>
        <v/>
      </c>
      <c r="L55" s="33"/>
      <c r="M55" s="33"/>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A63CA474-734C-4124-B47C-22F010761ACD}">
            <xm:f>AND(Information!$C$8=FALSE,$D10&lt;&gt;"P C Sum",$D10&lt;&gt;"PC Sum",$D10&lt;&gt;"P Sum",$D10&lt;&gt;"Prov Sum")</xm:f>
            <x14:dxf>
              <font>
                <strike val="0"/>
                <color theme="0"/>
              </font>
              <numFmt numFmtId="4" formatCode="#,##0.00"/>
            </x14:dxf>
          </x14:cfRule>
          <xm:sqref>G55 F10:G54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7EB4-DECB-4CCE-BCE4-E8BA08F28687}">
  <sheetPr>
    <tabColor rgb="FF00B050"/>
  </sheetPr>
  <dimension ref="B1:M49"/>
  <sheetViews>
    <sheetView view="pageBreakPreview" topLeftCell="A20" zoomScaleNormal="125" zoomScaleSheetLayoutView="100" zoomScalePageLayoutView="125" workbookViewId="0">
      <selection activeCell="D48" sqref="D48"/>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0" width="8.42578125" style="1" bestFit="1" customWidth="1"/>
    <col min="11" max="11" width="10.7109375" style="1" bestFit="1" customWidth="1"/>
    <col min="12" max="16384" width="6.85546875" style="1"/>
  </cols>
  <sheetData>
    <row r="1" spans="2:13" x14ac:dyDescent="0.2">
      <c r="G1" s="166">
        <f>MAX(G9:G500)</f>
        <v>0</v>
      </c>
    </row>
    <row r="2" spans="2:13" x14ac:dyDescent="0.2">
      <c r="B2" s="2" t="str">
        <f>Client1</f>
        <v>Province of KwaZulu-Natal</v>
      </c>
      <c r="E2" s="703" t="str">
        <f>"Contract No. "&amp;ContractNo</f>
        <v>Contract No. ZNB02287/00000/00/MET/INF/24/T</v>
      </c>
      <c r="F2" s="703"/>
      <c r="G2" s="703"/>
      <c r="J2" s="293"/>
      <c r="K2" s="293">
        <f>MAX(K3:K245)</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C1.6</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25" t="str">
        <f t="shared" ref="G10:G17" si="0">IF(D10="","",E10*F10)</f>
        <v/>
      </c>
      <c r="H10" s="18"/>
      <c r="J10" s="16"/>
      <c r="K10" s="16"/>
      <c r="L10" s="16"/>
      <c r="M10" s="16"/>
    </row>
    <row r="11" spans="2:13" x14ac:dyDescent="0.2">
      <c r="B11" s="67" t="s">
        <v>69</v>
      </c>
      <c r="C11" s="20" t="s">
        <v>70</v>
      </c>
      <c r="D11" s="22"/>
      <c r="E11" s="22"/>
      <c r="F11" s="16"/>
      <c r="G11" s="25" t="str">
        <f t="shared" si="0"/>
        <v/>
      </c>
      <c r="H11" s="42"/>
      <c r="J11" s="41"/>
      <c r="K11" s="41"/>
      <c r="L11" s="41"/>
      <c r="M11" s="41"/>
    </row>
    <row r="12" spans="2:13" x14ac:dyDescent="0.2">
      <c r="B12" s="51"/>
      <c r="C12" s="14"/>
      <c r="D12" s="22"/>
      <c r="E12" s="22"/>
      <c r="F12" s="16"/>
      <c r="G12" s="25" t="str">
        <f t="shared" si="0"/>
        <v/>
      </c>
      <c r="H12" s="42"/>
      <c r="J12" s="41"/>
      <c r="K12" s="41"/>
      <c r="L12" s="41"/>
      <c r="M12" s="41"/>
    </row>
    <row r="13" spans="2:13" x14ac:dyDescent="0.2">
      <c r="B13" s="67" t="s">
        <v>71</v>
      </c>
      <c r="C13" s="20" t="s">
        <v>72</v>
      </c>
      <c r="D13" s="22"/>
      <c r="E13" s="22"/>
      <c r="F13" s="16"/>
      <c r="G13" s="25" t="str">
        <f t="shared" si="0"/>
        <v/>
      </c>
      <c r="H13" s="42"/>
      <c r="J13" s="24"/>
      <c r="K13" s="46" t="str">
        <f t="shared" ref="K13:K28" si="1">IF(J13="","",J13*E13)</f>
        <v/>
      </c>
      <c r="L13" s="24"/>
      <c r="M13" s="24"/>
    </row>
    <row r="14" spans="2:13" x14ac:dyDescent="0.2">
      <c r="B14" s="51"/>
      <c r="C14" s="14"/>
      <c r="D14" s="22"/>
      <c r="E14" s="22"/>
      <c r="F14" s="16"/>
      <c r="G14" s="25" t="str">
        <f t="shared" si="0"/>
        <v/>
      </c>
      <c r="H14" s="42"/>
      <c r="J14" s="16"/>
      <c r="K14" s="62" t="str">
        <f t="shared" si="1"/>
        <v/>
      </c>
      <c r="L14" s="41"/>
      <c r="M14" s="41"/>
    </row>
    <row r="15" spans="2:13" ht="25.5" x14ac:dyDescent="0.2">
      <c r="B15" s="51" t="s">
        <v>73</v>
      </c>
      <c r="C15" s="14" t="s">
        <v>75</v>
      </c>
      <c r="D15" s="22" t="s">
        <v>21</v>
      </c>
      <c r="E15" s="372">
        <v>28</v>
      </c>
      <c r="F15" s="16"/>
      <c r="G15" s="25">
        <f t="shared" si="0"/>
        <v>0</v>
      </c>
      <c r="H15" s="43"/>
      <c r="J15" s="338" cm="1">
        <f t="array" ref="J15">_Clearing*5%</f>
        <v>0</v>
      </c>
      <c r="K15" s="62">
        <f t="shared" si="1"/>
        <v>0</v>
      </c>
      <c r="L15" s="41"/>
      <c r="M15" s="41"/>
    </row>
    <row r="16" spans="2:13" x14ac:dyDescent="0.2">
      <c r="B16" s="51"/>
      <c r="C16" s="14"/>
      <c r="D16" s="22"/>
      <c r="E16" s="23"/>
      <c r="F16" s="16"/>
      <c r="G16" s="25" t="str">
        <f t="shared" si="0"/>
        <v/>
      </c>
      <c r="H16" s="43"/>
      <c r="J16" s="16"/>
      <c r="K16" s="62" t="str">
        <f t="shared" si="1"/>
        <v/>
      </c>
      <c r="L16" s="41"/>
      <c r="M16" s="41"/>
    </row>
    <row r="17" spans="2:13" ht="25.5" x14ac:dyDescent="0.2">
      <c r="B17" s="51" t="s">
        <v>74</v>
      </c>
      <c r="C17" s="14" t="s">
        <v>76</v>
      </c>
      <c r="D17" s="22" t="s">
        <v>21</v>
      </c>
      <c r="E17" s="372">
        <v>2.8</v>
      </c>
      <c r="F17" s="16"/>
      <c r="G17" s="25">
        <f t="shared" si="0"/>
        <v>0</v>
      </c>
      <c r="H17" s="43"/>
      <c r="J17" s="338">
        <f>_Clearing*20%</f>
        <v>0</v>
      </c>
      <c r="K17" s="62">
        <f t="shared" si="1"/>
        <v>0</v>
      </c>
      <c r="L17" s="41"/>
      <c r="M17" s="41"/>
    </row>
    <row r="18" spans="2:13" x14ac:dyDescent="0.2">
      <c r="B18" s="51"/>
      <c r="C18" s="14"/>
      <c r="D18" s="22"/>
      <c r="E18" s="23"/>
      <c r="F18" s="16"/>
      <c r="G18" s="25"/>
      <c r="H18" s="43"/>
      <c r="J18" s="16"/>
      <c r="K18" s="62" t="str">
        <f t="shared" si="1"/>
        <v/>
      </c>
      <c r="L18" s="41"/>
      <c r="M18" s="41"/>
    </row>
    <row r="19" spans="2:13" hidden="1" x14ac:dyDescent="0.2">
      <c r="B19" s="51" t="s">
        <v>758</v>
      </c>
      <c r="C19" s="14" t="s">
        <v>759</v>
      </c>
      <c r="D19" s="22" t="s">
        <v>22</v>
      </c>
      <c r="E19" s="23"/>
      <c r="F19" s="16"/>
      <c r="G19" s="25">
        <f t="shared" ref="G19:G21" si="2">IF(D19="","",E19*F19)</f>
        <v>0</v>
      </c>
      <c r="H19" s="43"/>
      <c r="J19" s="16"/>
      <c r="K19" s="62"/>
      <c r="L19" s="41"/>
      <c r="M19" s="41"/>
    </row>
    <row r="20" spans="2:13" ht="12" customHeight="1" x14ac:dyDescent="0.2">
      <c r="B20" s="51"/>
      <c r="C20" s="14"/>
      <c r="D20" s="22"/>
      <c r="E20" s="23"/>
      <c r="F20" s="16"/>
      <c r="G20" s="25" t="str">
        <f t="shared" si="2"/>
        <v/>
      </c>
      <c r="H20" s="43"/>
      <c r="J20" s="16"/>
      <c r="K20" s="62"/>
      <c r="L20" s="41"/>
      <c r="M20" s="41"/>
    </row>
    <row r="21" spans="2:13" hidden="1" x14ac:dyDescent="0.2">
      <c r="B21" s="51"/>
      <c r="C21" s="14"/>
      <c r="D21" s="22"/>
      <c r="E21" s="23"/>
      <c r="F21" s="16"/>
      <c r="G21" s="25" t="str">
        <f t="shared" si="2"/>
        <v/>
      </c>
      <c r="H21" s="43"/>
      <c r="J21" s="16"/>
      <c r="K21" s="62"/>
      <c r="L21" s="41"/>
      <c r="M21" s="41"/>
    </row>
    <row r="22" spans="2:13" ht="25.5" hidden="1" x14ac:dyDescent="0.2">
      <c r="B22" s="51" t="s">
        <v>760</v>
      </c>
      <c r="C22" s="14" t="s">
        <v>761</v>
      </c>
      <c r="D22" s="22" t="s">
        <v>256</v>
      </c>
      <c r="E22" s="23">
        <v>0</v>
      </c>
      <c r="F22" s="16"/>
      <c r="G22" s="25">
        <f>IF(D22="","",E22*F22)</f>
        <v>0</v>
      </c>
      <c r="H22" s="42"/>
      <c r="J22" s="16"/>
      <c r="K22" s="62" t="str">
        <f t="shared" si="1"/>
        <v/>
      </c>
      <c r="L22" s="41"/>
      <c r="M22" s="41"/>
    </row>
    <row r="23" spans="2:13" hidden="1" x14ac:dyDescent="0.2">
      <c r="B23" s="67"/>
      <c r="C23" s="20"/>
      <c r="D23" s="22"/>
      <c r="E23" s="23"/>
      <c r="F23" s="16"/>
      <c r="G23" s="25"/>
      <c r="H23" s="42"/>
      <c r="J23" s="16"/>
      <c r="K23" s="62"/>
      <c r="L23" s="41"/>
      <c r="M23" s="41"/>
    </row>
    <row r="24" spans="2:13" x14ac:dyDescent="0.2">
      <c r="B24" s="67" t="s">
        <v>77</v>
      </c>
      <c r="C24" s="20" t="s">
        <v>78</v>
      </c>
      <c r="D24" s="22"/>
      <c r="E24" s="23"/>
      <c r="F24" s="16"/>
      <c r="G24" s="25" t="str">
        <f t="shared" ref="G24:G48" si="3">IF(D24="","",E24*F24)</f>
        <v/>
      </c>
      <c r="H24" s="42"/>
      <c r="J24" s="16"/>
      <c r="K24" s="62" t="str">
        <f t="shared" si="1"/>
        <v/>
      </c>
      <c r="L24" s="41"/>
      <c r="M24" s="41"/>
    </row>
    <row r="25" spans="2:13" x14ac:dyDescent="0.2">
      <c r="B25" s="51"/>
      <c r="C25" s="14"/>
      <c r="D25" s="22"/>
      <c r="E25" s="23"/>
      <c r="F25" s="16"/>
      <c r="G25" s="25" t="str">
        <f t="shared" si="3"/>
        <v/>
      </c>
      <c r="H25" s="45"/>
      <c r="J25" s="16"/>
      <c r="K25" s="62" t="str">
        <f t="shared" si="1"/>
        <v/>
      </c>
      <c r="L25" s="41"/>
      <c r="M25" s="41"/>
    </row>
    <row r="26" spans="2:13" ht="25.5" x14ac:dyDescent="0.2">
      <c r="B26" s="51" t="s">
        <v>79</v>
      </c>
      <c r="C26" s="14" t="s">
        <v>567</v>
      </c>
      <c r="D26" s="22" t="s">
        <v>21</v>
      </c>
      <c r="E26" s="372">
        <v>28</v>
      </c>
      <c r="F26" s="16"/>
      <c r="G26" s="25">
        <f t="shared" si="3"/>
        <v>0</v>
      </c>
      <c r="J26" s="338">
        <f>_Clearing*5%</f>
        <v>0</v>
      </c>
      <c r="K26" s="62">
        <f t="shared" si="1"/>
        <v>0</v>
      </c>
      <c r="L26" s="41"/>
      <c r="M26" s="41"/>
    </row>
    <row r="27" spans="2:13" x14ac:dyDescent="0.2">
      <c r="B27" s="51"/>
      <c r="C27" s="14"/>
      <c r="D27" s="22"/>
      <c r="E27" s="23"/>
      <c r="F27" s="16"/>
      <c r="G27" s="25" t="str">
        <f t="shared" si="3"/>
        <v/>
      </c>
      <c r="J27" s="16"/>
      <c r="K27" s="62" t="str">
        <f t="shared" si="1"/>
        <v/>
      </c>
      <c r="L27" s="41"/>
      <c r="M27" s="41"/>
    </row>
    <row r="28" spans="2:13" ht="35.25" customHeight="1" x14ac:dyDescent="0.2">
      <c r="B28" s="51" t="s">
        <v>80</v>
      </c>
      <c r="C28" s="14" t="s">
        <v>568</v>
      </c>
      <c r="D28" s="22" t="s">
        <v>21</v>
      </c>
      <c r="E28" s="372">
        <v>2.8</v>
      </c>
      <c r="F28" s="16"/>
      <c r="G28" s="25">
        <f t="shared" si="3"/>
        <v>0</v>
      </c>
      <c r="J28" s="338">
        <f>_Clearing*20%</f>
        <v>0</v>
      </c>
      <c r="K28" s="62">
        <f t="shared" si="1"/>
        <v>0</v>
      </c>
      <c r="L28" s="41"/>
      <c r="M28" s="41"/>
    </row>
    <row r="29" spans="2:13" x14ac:dyDescent="0.2">
      <c r="B29" s="51"/>
      <c r="C29" s="14"/>
      <c r="D29" s="22"/>
      <c r="E29" s="23"/>
      <c r="F29" s="16"/>
      <c r="G29" s="25" t="str">
        <f t="shared" si="3"/>
        <v/>
      </c>
      <c r="J29" s="41"/>
      <c r="K29" s="46"/>
      <c r="L29" s="41"/>
      <c r="M29" s="41"/>
    </row>
    <row r="30" spans="2:13" ht="25.5" hidden="1" x14ac:dyDescent="0.2">
      <c r="B30" s="51" t="s">
        <v>762</v>
      </c>
      <c r="C30" s="14" t="s">
        <v>763</v>
      </c>
      <c r="D30" s="22" t="s">
        <v>22</v>
      </c>
      <c r="E30" s="23"/>
      <c r="F30" s="16"/>
      <c r="G30" s="25">
        <f t="shared" si="3"/>
        <v>0</v>
      </c>
      <c r="J30" s="41"/>
      <c r="K30" s="46"/>
      <c r="L30" s="41"/>
      <c r="M30" s="41"/>
    </row>
    <row r="31" spans="2:13" hidden="1" x14ac:dyDescent="0.2">
      <c r="B31" s="51"/>
      <c r="C31" s="14"/>
      <c r="D31" s="22"/>
      <c r="E31" s="23"/>
      <c r="F31" s="16"/>
      <c r="G31" s="25" t="str">
        <f t="shared" si="3"/>
        <v/>
      </c>
      <c r="J31" s="41"/>
      <c r="K31" s="46"/>
      <c r="L31" s="41"/>
      <c r="M31" s="41"/>
    </row>
    <row r="32" spans="2:13" ht="25.5" hidden="1" x14ac:dyDescent="0.2">
      <c r="B32" s="51" t="s">
        <v>764</v>
      </c>
      <c r="C32" s="14" t="s">
        <v>765</v>
      </c>
      <c r="D32" s="22" t="s">
        <v>256</v>
      </c>
      <c r="E32" s="23">
        <v>0</v>
      </c>
      <c r="F32" s="16"/>
      <c r="G32" s="25">
        <f t="shared" si="3"/>
        <v>0</v>
      </c>
      <c r="J32" s="41"/>
      <c r="K32" s="46"/>
      <c r="L32" s="41"/>
      <c r="M32" s="41"/>
    </row>
    <row r="33" spans="2:13" x14ac:dyDescent="0.2">
      <c r="B33" s="51"/>
      <c r="C33" s="14"/>
      <c r="D33" s="22"/>
      <c r="E33" s="23"/>
      <c r="F33" s="16"/>
      <c r="G33" s="25"/>
      <c r="J33" s="41"/>
      <c r="K33" s="46"/>
      <c r="L33" s="41"/>
      <c r="M33" s="41"/>
    </row>
    <row r="34" spans="2:13" s="30" customFormat="1" x14ac:dyDescent="0.2">
      <c r="B34" s="6" t="s">
        <v>766</v>
      </c>
      <c r="C34" s="445" t="s">
        <v>571</v>
      </c>
      <c r="D34" s="446"/>
      <c r="E34" s="429"/>
      <c r="F34" s="431"/>
      <c r="G34" s="432" t="str">
        <f t="shared" si="3"/>
        <v/>
      </c>
      <c r="H34" s="36"/>
      <c r="J34" s="447"/>
      <c r="K34" s="448"/>
      <c r="L34" s="447"/>
      <c r="M34" s="447"/>
    </row>
    <row r="35" spans="2:13" x14ac:dyDescent="0.2">
      <c r="B35" s="51"/>
      <c r="C35" s="369"/>
      <c r="D35" s="370"/>
      <c r="E35" s="22"/>
      <c r="F35" s="16"/>
      <c r="G35" s="25" t="str">
        <f t="shared" si="3"/>
        <v/>
      </c>
      <c r="H35" s="43"/>
      <c r="J35" s="41"/>
      <c r="K35" s="46"/>
      <c r="L35" s="41"/>
      <c r="M35" s="41"/>
    </row>
    <row r="36" spans="2:13" ht="24" x14ac:dyDescent="0.2">
      <c r="B36" s="51" t="s">
        <v>767</v>
      </c>
      <c r="C36" s="369" t="s">
        <v>768</v>
      </c>
      <c r="D36" s="370" t="s">
        <v>549</v>
      </c>
      <c r="E36" s="22">
        <v>200</v>
      </c>
      <c r="F36" s="16"/>
      <c r="G36" s="25">
        <f t="shared" si="3"/>
        <v>0</v>
      </c>
      <c r="H36" s="43"/>
      <c r="J36" s="41"/>
      <c r="K36" s="46"/>
      <c r="L36" s="41"/>
      <c r="M36" s="41"/>
    </row>
    <row r="37" spans="2:13" x14ac:dyDescent="0.2">
      <c r="B37" s="51"/>
      <c r="C37" s="369"/>
      <c r="D37" s="370"/>
      <c r="E37" s="22"/>
      <c r="F37" s="16"/>
      <c r="G37" s="25" t="str">
        <f t="shared" si="3"/>
        <v/>
      </c>
      <c r="H37" s="43"/>
      <c r="J37" s="41"/>
      <c r="K37" s="46"/>
      <c r="L37" s="41"/>
      <c r="M37" s="41"/>
    </row>
    <row r="38" spans="2:13" x14ac:dyDescent="0.2">
      <c r="B38" s="51" t="s">
        <v>769</v>
      </c>
      <c r="C38" s="369" t="s">
        <v>770</v>
      </c>
      <c r="D38" s="370" t="s">
        <v>33</v>
      </c>
      <c r="E38" s="22">
        <v>70</v>
      </c>
      <c r="F38" s="16"/>
      <c r="G38" s="25">
        <f t="shared" si="3"/>
        <v>0</v>
      </c>
      <c r="H38" s="43"/>
      <c r="J38" s="41"/>
      <c r="K38" s="46"/>
      <c r="L38" s="41"/>
      <c r="M38" s="41"/>
    </row>
    <row r="39" spans="2:13" x14ac:dyDescent="0.2">
      <c r="B39" s="51"/>
      <c r="C39" s="369"/>
      <c r="D39" s="370"/>
      <c r="E39" s="22"/>
      <c r="F39" s="16"/>
      <c r="G39" s="25" t="str">
        <f t="shared" si="3"/>
        <v/>
      </c>
      <c r="H39" s="43"/>
      <c r="J39" s="41"/>
      <c r="K39" s="46"/>
      <c r="L39" s="41"/>
      <c r="M39" s="41"/>
    </row>
    <row r="40" spans="2:13" x14ac:dyDescent="0.2">
      <c r="B40" s="51" t="s">
        <v>771</v>
      </c>
      <c r="C40" s="369" t="s">
        <v>772</v>
      </c>
      <c r="D40" s="370" t="s">
        <v>33</v>
      </c>
      <c r="E40" s="22">
        <v>20</v>
      </c>
      <c r="F40" s="16"/>
      <c r="G40" s="25">
        <f t="shared" si="3"/>
        <v>0</v>
      </c>
      <c r="H40" s="43"/>
      <c r="J40" s="41"/>
      <c r="K40" s="46"/>
      <c r="L40" s="41"/>
      <c r="M40" s="41"/>
    </row>
    <row r="41" spans="2:13" x14ac:dyDescent="0.2">
      <c r="B41" s="51"/>
      <c r="C41" s="369"/>
      <c r="D41" s="370"/>
      <c r="E41" s="22"/>
      <c r="F41" s="16"/>
      <c r="G41" s="25" t="str">
        <f t="shared" si="3"/>
        <v/>
      </c>
      <c r="H41" s="43"/>
      <c r="J41" s="41"/>
      <c r="K41" s="46"/>
      <c r="L41" s="41"/>
      <c r="M41" s="41"/>
    </row>
    <row r="42" spans="2:13" x14ac:dyDescent="0.2">
      <c r="B42" s="51" t="s">
        <v>773</v>
      </c>
      <c r="C42" s="369" t="s">
        <v>774</v>
      </c>
      <c r="D42" s="370" t="s">
        <v>21</v>
      </c>
      <c r="E42" s="372">
        <v>14</v>
      </c>
      <c r="F42" s="16"/>
      <c r="G42" s="25">
        <f t="shared" si="3"/>
        <v>0</v>
      </c>
      <c r="H42" s="43"/>
      <c r="J42" s="41"/>
      <c r="K42" s="46"/>
      <c r="L42" s="41"/>
      <c r="M42" s="41"/>
    </row>
    <row r="43" spans="2:13" x14ac:dyDescent="0.2">
      <c r="B43" s="51"/>
      <c r="C43" s="369"/>
      <c r="D43" s="370"/>
      <c r="E43" s="22"/>
      <c r="F43" s="16"/>
      <c r="G43" s="25" t="str">
        <f t="shared" si="3"/>
        <v/>
      </c>
      <c r="H43" s="43"/>
      <c r="J43" s="41"/>
      <c r="K43" s="46"/>
      <c r="L43" s="41"/>
      <c r="M43" s="41"/>
    </row>
    <row r="44" spans="2:13" ht="25.5" x14ac:dyDescent="0.2">
      <c r="B44" s="51" t="s">
        <v>569</v>
      </c>
      <c r="C44" s="369" t="s">
        <v>570</v>
      </c>
      <c r="D44" s="370" t="s">
        <v>33</v>
      </c>
      <c r="E44" s="22">
        <v>100</v>
      </c>
      <c r="F44" s="16"/>
      <c r="G44" s="25">
        <f t="shared" si="3"/>
        <v>0</v>
      </c>
      <c r="H44" s="43"/>
      <c r="J44" s="41"/>
      <c r="K44" s="46"/>
      <c r="L44" s="41"/>
      <c r="M44" s="41"/>
    </row>
    <row r="45" spans="2:13" x14ac:dyDescent="0.2">
      <c r="B45" s="51"/>
      <c r="C45" s="369"/>
      <c r="D45" s="370"/>
      <c r="E45" s="22"/>
      <c r="F45" s="16"/>
      <c r="G45" s="25"/>
      <c r="H45" s="43"/>
      <c r="J45" s="660"/>
      <c r="K45" s="661"/>
      <c r="L45" s="660"/>
      <c r="M45" s="660"/>
    </row>
    <row r="46" spans="2:13" x14ac:dyDescent="0.2">
      <c r="B46" s="51"/>
      <c r="C46" s="369"/>
      <c r="D46" s="370"/>
      <c r="E46" s="22"/>
      <c r="F46" s="16"/>
      <c r="G46" s="25"/>
      <c r="H46" s="43"/>
      <c r="J46" s="660"/>
      <c r="K46" s="661"/>
      <c r="L46" s="660"/>
      <c r="M46" s="660"/>
    </row>
    <row r="47" spans="2:13" x14ac:dyDescent="0.2">
      <c r="B47" s="51"/>
      <c r="C47" s="369"/>
      <c r="D47" s="370"/>
      <c r="E47" s="22"/>
      <c r="F47" s="16"/>
      <c r="G47" s="25"/>
      <c r="H47" s="43"/>
      <c r="J47" s="660"/>
      <c r="K47" s="661"/>
      <c r="L47" s="660"/>
      <c r="M47" s="660"/>
    </row>
    <row r="48" spans="2:13" x14ac:dyDescent="0.2">
      <c r="B48" s="51"/>
      <c r="C48" s="14"/>
      <c r="D48" s="22"/>
      <c r="E48" s="22"/>
      <c r="F48" s="16"/>
      <c r="G48" s="25" t="str">
        <f t="shared" si="3"/>
        <v/>
      </c>
      <c r="H48" s="42"/>
    </row>
    <row r="49" spans="2:11" s="30" customFormat="1" ht="20.100000000000001" customHeight="1" x14ac:dyDescent="0.2">
      <c r="B49" s="74" t="str">
        <f>$B$11</f>
        <v>C1.6</v>
      </c>
      <c r="C49" s="32" t="str">
        <f>"TOTAL CARRIED FORWARD"&amp;IF(G49=G$1," TO SUMMARY (Page C"&amp;Page_A&amp;")","")</f>
        <v>TOTAL CARRIED FORWARD TO SUMMARY (Page C49)</v>
      </c>
      <c r="D49" s="33"/>
      <c r="E49" s="34"/>
      <c r="F49" s="33"/>
      <c r="G49" s="352">
        <f>SUM(G10:G48)</f>
        <v>0</v>
      </c>
      <c r="H49" s="36"/>
      <c r="K49" s="35">
        <f>SUM(K10:K48)</f>
        <v>0</v>
      </c>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C77C6DCF-0E53-4AA8-897C-91EAF49BE2D6}">
            <xm:f>AND(Information!$C$8=FALSE,$D10&lt;&gt;"P C Sum",$D10&lt;&gt;"PC Sum",$D10&lt;&gt;"P Sum",$D10&lt;&gt;"Prov Sum")</xm:f>
            <x14:dxf>
              <font>
                <strike val="0"/>
                <color theme="0"/>
              </font>
              <numFmt numFmtId="4" formatCode="#,##0.00"/>
            </x14:dxf>
          </x14:cfRule>
          <xm:sqref>F48:G48 F10:G33 F38:F47 G34:G47</xm:sqref>
        </x14:conditionalFormatting>
        <x14:conditionalFormatting xmlns:xm="http://schemas.microsoft.com/office/excel/2006/main">
          <x14:cfRule type="expression" priority="2" id="{8BAB8046-BCAD-4EAF-BDDA-BAF9962B9DCD}">
            <xm:f>AND(Information!$C$8=FALSE,$D49&lt;&gt;"P C Sum",$D49&lt;&gt;"PC Sum",$D49&lt;&gt;"P Sum",$D49&lt;&gt;"Prov Sum")</xm:f>
            <x14:dxf>
              <font>
                <strike val="0"/>
                <color theme="0"/>
              </font>
              <numFmt numFmtId="4" formatCode="#,##0.00"/>
            </x14:dxf>
          </x14:cfRule>
          <xm:sqref>G49</xm:sqref>
        </x14:conditionalFormatting>
        <x14:conditionalFormatting xmlns:xm="http://schemas.microsoft.com/office/excel/2006/main">
          <x14:cfRule type="expression" priority="1" id="{CCDCAF67-84D2-40B2-93CC-01FB63096245}">
            <xm:f>AND(Information!$C$8=FALSE,$D34&lt;&gt;"P C Sum",$D34&lt;&gt;"PC Sum",$D34&lt;&gt;"P Sum",$D34&lt;&gt;"Prov Sum")</xm:f>
            <x14:dxf>
              <font>
                <strike val="0"/>
                <color theme="0"/>
              </font>
              <numFmt numFmtId="4" formatCode="#,##0.00"/>
            </x14:dxf>
          </x14:cfRule>
          <xm:sqref>F34:F37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E570-612F-426B-9B9B-D47207EBA732}">
  <sheetPr codeName="Sheet7">
    <tabColor rgb="FF00B050"/>
  </sheetPr>
  <dimension ref="B1:M65"/>
  <sheetViews>
    <sheetView view="pageBreakPreview" topLeftCell="A14" zoomScaleNormal="125" zoomScaleSheetLayoutView="100" zoomScalePageLayoutView="125" workbookViewId="0">
      <selection activeCell="D56" sqref="D56"/>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1" customWidth="1"/>
    <col min="14" max="16384" width="6.85546875" style="1"/>
  </cols>
  <sheetData>
    <row r="1" spans="2:13" x14ac:dyDescent="0.2">
      <c r="G1" s="166">
        <f>MAX(G9:G498)</f>
        <v>0</v>
      </c>
    </row>
    <row r="2" spans="2:13" x14ac:dyDescent="0.2">
      <c r="B2" s="2" t="str">
        <f>Client1</f>
        <v>Province of KwaZulu-Natal</v>
      </c>
      <c r="E2" s="703" t="str">
        <f>"Contract No. "&amp;ContractNo</f>
        <v>Contract No. ZNB02287/00000/00/MET/INF/24/T</v>
      </c>
      <c r="F2" s="703"/>
      <c r="G2" s="703"/>
      <c r="J2" s="293"/>
      <c r="K2" s="293">
        <f>MAX(K3:K243)</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C1.7</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I9" s="9">
        <v>0.05</v>
      </c>
      <c r="J9" s="11"/>
      <c r="K9" s="11"/>
      <c r="L9" s="11"/>
      <c r="M9" s="11"/>
    </row>
    <row r="10" spans="2:13" x14ac:dyDescent="0.2">
      <c r="B10" s="51"/>
      <c r="C10" s="14"/>
      <c r="D10" s="15"/>
      <c r="E10" s="15"/>
      <c r="F10" s="16"/>
      <c r="G10" s="25" t="str">
        <f t="shared" ref="G10:G25" si="0">IF(D10="","",E10*F10)</f>
        <v/>
      </c>
      <c r="H10" s="18"/>
      <c r="J10" s="16"/>
      <c r="K10" s="16"/>
      <c r="L10" s="16"/>
      <c r="M10" s="16"/>
    </row>
    <row r="11" spans="2:13" x14ac:dyDescent="0.2">
      <c r="B11" s="67" t="s">
        <v>81</v>
      </c>
      <c r="C11" s="20" t="s">
        <v>82</v>
      </c>
      <c r="D11" s="22"/>
      <c r="E11" s="22"/>
      <c r="F11" s="16"/>
      <c r="G11" s="25" t="str">
        <f t="shared" si="0"/>
        <v/>
      </c>
      <c r="H11" s="42"/>
      <c r="J11" s="41"/>
      <c r="K11" s="41"/>
      <c r="L11" s="41"/>
      <c r="M11" s="41"/>
    </row>
    <row r="12" spans="2:13" x14ac:dyDescent="0.2">
      <c r="B12" s="51"/>
      <c r="C12" s="14"/>
      <c r="D12" s="22"/>
      <c r="E12" s="22"/>
      <c r="F12" s="16"/>
      <c r="G12" s="25" t="str">
        <f t="shared" si="0"/>
        <v/>
      </c>
      <c r="H12" s="42"/>
      <c r="J12" s="41"/>
      <c r="K12" s="41"/>
      <c r="L12" s="41"/>
      <c r="M12" s="41"/>
    </row>
    <row r="13" spans="2:13" x14ac:dyDescent="0.2">
      <c r="B13" s="51" t="s">
        <v>83</v>
      </c>
      <c r="C13" s="14" t="s">
        <v>84</v>
      </c>
      <c r="D13" s="22"/>
      <c r="E13" s="22"/>
      <c r="F13" s="16"/>
      <c r="G13" s="25" t="str">
        <f t="shared" si="0"/>
        <v/>
      </c>
      <c r="H13" s="42"/>
      <c r="J13" s="41"/>
      <c r="K13" s="41"/>
      <c r="L13" s="41"/>
      <c r="M13" s="41"/>
    </row>
    <row r="14" spans="2:13" x14ac:dyDescent="0.2">
      <c r="B14" s="51"/>
      <c r="C14" s="14"/>
      <c r="D14" s="22"/>
      <c r="E14" s="22"/>
      <c r="F14" s="16"/>
      <c r="G14" s="25" t="str">
        <f t="shared" si="0"/>
        <v/>
      </c>
      <c r="H14" s="42"/>
      <c r="J14" s="41"/>
      <c r="K14" s="41"/>
      <c r="L14" s="41"/>
      <c r="M14" s="41"/>
    </row>
    <row r="15" spans="2:13" ht="25.5" hidden="1" x14ac:dyDescent="0.2">
      <c r="B15" s="51" t="s">
        <v>85</v>
      </c>
      <c r="C15" s="14" t="s">
        <v>394</v>
      </c>
      <c r="D15" s="22" t="s">
        <v>23</v>
      </c>
      <c r="E15" s="23">
        <v>0</v>
      </c>
      <c r="F15" s="16">
        <v>25</v>
      </c>
      <c r="G15" s="25">
        <f t="shared" si="0"/>
        <v>0</v>
      </c>
      <c r="H15" s="43"/>
      <c r="J15" s="24">
        <f>5%*F15</f>
        <v>1.25</v>
      </c>
      <c r="K15" s="46">
        <f>IF(J15="","",J15*E15)</f>
        <v>0</v>
      </c>
      <c r="L15" s="24"/>
      <c r="M15" s="24"/>
    </row>
    <row r="16" spans="2:13" hidden="1" x14ac:dyDescent="0.2">
      <c r="B16" s="51"/>
      <c r="C16" s="14"/>
      <c r="D16" s="22"/>
      <c r="E16" s="23"/>
      <c r="F16" s="16"/>
      <c r="G16" s="25" t="str">
        <f t="shared" si="0"/>
        <v/>
      </c>
      <c r="H16" s="43"/>
      <c r="J16" s="24"/>
      <c r="K16" s="24"/>
      <c r="L16" s="24"/>
      <c r="M16" s="24"/>
    </row>
    <row r="17" spans="2:13" ht="25.5" x14ac:dyDescent="0.2">
      <c r="B17" s="51" t="s">
        <v>86</v>
      </c>
      <c r="C17" s="14" t="s">
        <v>88</v>
      </c>
      <c r="D17" s="22" t="s">
        <v>23</v>
      </c>
      <c r="E17" s="23">
        <v>1400</v>
      </c>
      <c r="F17" s="41"/>
      <c r="G17" s="25">
        <f t="shared" si="0"/>
        <v>0</v>
      </c>
      <c r="H17" s="43"/>
      <c r="J17" s="24">
        <f>5%*F17</f>
        <v>0</v>
      </c>
      <c r="K17" s="46">
        <f>IF(J17="","",J17*E17)</f>
        <v>0</v>
      </c>
      <c r="L17" s="24"/>
      <c r="M17" s="24"/>
    </row>
    <row r="18" spans="2:13" x14ac:dyDescent="0.2">
      <c r="B18" s="51"/>
      <c r="C18" s="14"/>
      <c r="D18" s="22"/>
      <c r="E18" s="23"/>
      <c r="F18" s="16"/>
      <c r="G18" s="25" t="str">
        <f t="shared" si="0"/>
        <v/>
      </c>
      <c r="H18" s="43"/>
      <c r="J18" s="24"/>
      <c r="K18" s="46" t="str">
        <f>IF(J18="","",J18*E18)</f>
        <v/>
      </c>
      <c r="L18" s="24"/>
      <c r="M18" s="24"/>
    </row>
    <row r="19" spans="2:13" ht="38.25" x14ac:dyDescent="0.2">
      <c r="B19" s="51" t="s">
        <v>87</v>
      </c>
      <c r="C19" s="14" t="s">
        <v>89</v>
      </c>
      <c r="D19" s="22" t="s">
        <v>23</v>
      </c>
      <c r="E19" s="23">
        <v>200</v>
      </c>
      <c r="F19" s="41"/>
      <c r="G19" s="25">
        <f t="shared" si="0"/>
        <v>0</v>
      </c>
      <c r="H19" s="43"/>
      <c r="J19" s="24">
        <f>_LabourDaily/2.5</f>
        <v>0</v>
      </c>
      <c r="K19" s="46">
        <f>IF(J19="","",J19*E19)</f>
        <v>0</v>
      </c>
      <c r="L19" s="24"/>
      <c r="M19" s="24"/>
    </row>
    <row r="20" spans="2:13" x14ac:dyDescent="0.2">
      <c r="B20" s="51"/>
      <c r="C20" s="14"/>
      <c r="D20" s="22"/>
      <c r="E20" s="23"/>
      <c r="F20" s="16"/>
      <c r="G20" s="25" t="str">
        <f t="shared" si="0"/>
        <v/>
      </c>
      <c r="H20" s="43"/>
      <c r="J20" s="24"/>
      <c r="K20" s="46" t="str">
        <f>IF(J20="","",J20*E20)</f>
        <v/>
      </c>
      <c r="L20" s="24"/>
      <c r="M20" s="24"/>
    </row>
    <row r="21" spans="2:13" x14ac:dyDescent="0.2">
      <c r="B21" s="51" t="s">
        <v>90</v>
      </c>
      <c r="C21" s="14" t="s">
        <v>91</v>
      </c>
      <c r="D21" s="22"/>
      <c r="E21" s="23"/>
      <c r="F21" s="16"/>
      <c r="G21" s="25" t="str">
        <f t="shared" si="0"/>
        <v/>
      </c>
      <c r="H21" s="42"/>
      <c r="J21" s="41"/>
      <c r="K21" s="46" t="str">
        <f>IF(J21="","",J21*E21)</f>
        <v/>
      </c>
      <c r="L21" s="41"/>
      <c r="M21" s="41"/>
    </row>
    <row r="22" spans="2:13" x14ac:dyDescent="0.2">
      <c r="B22" s="51"/>
      <c r="C22" s="14"/>
      <c r="D22" s="22"/>
      <c r="E22" s="23"/>
      <c r="F22" s="16"/>
      <c r="G22" s="25" t="str">
        <f t="shared" si="0"/>
        <v/>
      </c>
      <c r="H22" s="42"/>
      <c r="J22" s="44"/>
      <c r="K22" s="44"/>
      <c r="L22" s="44"/>
      <c r="M22" s="44"/>
    </row>
    <row r="23" spans="2:13" ht="25.5" x14ac:dyDescent="0.2">
      <c r="B23" s="51" t="s">
        <v>92</v>
      </c>
      <c r="C23" s="14" t="s">
        <v>94</v>
      </c>
      <c r="D23" s="22"/>
      <c r="E23" s="23"/>
      <c r="F23" s="16"/>
      <c r="G23" s="25" t="str">
        <f t="shared" si="0"/>
        <v/>
      </c>
      <c r="H23" s="45"/>
      <c r="J23" s="41"/>
      <c r="K23" s="41"/>
      <c r="L23" s="41"/>
      <c r="M23" s="41"/>
    </row>
    <row r="24" spans="2:13" x14ac:dyDescent="0.2">
      <c r="B24" s="51"/>
      <c r="C24" s="14"/>
      <c r="D24" s="22"/>
      <c r="E24" s="23"/>
      <c r="F24" s="16"/>
      <c r="G24" s="25" t="str">
        <f t="shared" si="0"/>
        <v/>
      </c>
      <c r="H24" s="45"/>
      <c r="J24" s="41"/>
      <c r="K24" s="41"/>
      <c r="L24" s="41"/>
      <c r="M24" s="41"/>
    </row>
    <row r="25" spans="2:13" ht="25.5" x14ac:dyDescent="0.2">
      <c r="B25" s="51" t="s">
        <v>34</v>
      </c>
      <c r="C25" s="14" t="s">
        <v>95</v>
      </c>
      <c r="D25" s="22" t="s">
        <v>100</v>
      </c>
      <c r="E25" s="611">
        <v>157590.29</v>
      </c>
      <c r="F25" s="16"/>
      <c r="G25" s="25">
        <f t="shared" si="0"/>
        <v>0</v>
      </c>
      <c r="J25" s="46"/>
      <c r="K25" s="46"/>
      <c r="L25" s="46"/>
      <c r="M25" s="46"/>
    </row>
    <row r="26" spans="2:13" x14ac:dyDescent="0.2">
      <c r="B26" s="51"/>
      <c r="C26" s="14"/>
      <c r="D26" s="22"/>
      <c r="E26" s="23"/>
      <c r="F26" s="16"/>
      <c r="G26" s="25"/>
      <c r="J26" s="46"/>
      <c r="K26" s="46"/>
      <c r="L26" s="46"/>
      <c r="M26" s="46"/>
    </row>
    <row r="27" spans="2:13" ht="25.5" x14ac:dyDescent="0.2">
      <c r="B27" s="51" t="s">
        <v>93</v>
      </c>
      <c r="C27" s="14" t="s">
        <v>96</v>
      </c>
      <c r="D27" s="22"/>
      <c r="E27" s="23"/>
      <c r="F27" s="16"/>
      <c r="G27" s="25" t="str">
        <f t="shared" ref="G27:G59" si="1">IF(D27="","",E27*F27)</f>
        <v/>
      </c>
      <c r="J27" s="40"/>
      <c r="K27" s="40"/>
      <c r="L27" s="40"/>
      <c r="M27" s="40"/>
    </row>
    <row r="28" spans="2:13" x14ac:dyDescent="0.2">
      <c r="B28" s="51"/>
      <c r="C28" s="14"/>
      <c r="D28" s="22"/>
      <c r="E28" s="23"/>
      <c r="F28" s="16"/>
      <c r="G28" s="25" t="str">
        <f t="shared" si="1"/>
        <v/>
      </c>
      <c r="J28" s="40"/>
      <c r="K28" s="40"/>
      <c r="L28" s="40"/>
      <c r="M28" s="40"/>
    </row>
    <row r="29" spans="2:13" ht="25.5" x14ac:dyDescent="0.2">
      <c r="B29" s="51" t="s">
        <v>34</v>
      </c>
      <c r="C29" s="14" t="s">
        <v>97</v>
      </c>
      <c r="D29" s="22" t="s">
        <v>100</v>
      </c>
      <c r="E29" s="23">
        <v>34000</v>
      </c>
      <c r="F29" s="16"/>
      <c r="G29" s="25">
        <f t="shared" si="1"/>
        <v>0</v>
      </c>
      <c r="J29" s="46"/>
      <c r="K29" s="46"/>
      <c r="L29" s="46"/>
      <c r="M29" s="46"/>
    </row>
    <row r="30" spans="2:13" x14ac:dyDescent="0.2">
      <c r="B30" s="51"/>
      <c r="C30" s="28"/>
      <c r="D30" s="22"/>
      <c r="E30" s="23"/>
      <c r="F30" s="16"/>
      <c r="G30" s="25" t="str">
        <f t="shared" si="1"/>
        <v/>
      </c>
      <c r="J30" s="46"/>
      <c r="K30" s="46"/>
      <c r="L30" s="46"/>
      <c r="M30" s="46"/>
    </row>
    <row r="31" spans="2:13" ht="14.25" x14ac:dyDescent="0.2">
      <c r="B31" s="51" t="s">
        <v>35</v>
      </c>
      <c r="C31" s="28" t="s">
        <v>98</v>
      </c>
      <c r="D31" s="22" t="s">
        <v>100</v>
      </c>
      <c r="E31" s="23">
        <v>10000</v>
      </c>
      <c r="F31" s="16"/>
      <c r="G31" s="25">
        <f t="shared" si="1"/>
        <v>0</v>
      </c>
      <c r="J31" s="46"/>
      <c r="K31" s="46"/>
      <c r="L31" s="46"/>
      <c r="M31" s="46"/>
    </row>
    <row r="32" spans="2:13" x14ac:dyDescent="0.2">
      <c r="B32" s="51"/>
      <c r="C32" s="28"/>
      <c r="D32" s="22"/>
      <c r="E32" s="23"/>
      <c r="F32" s="16"/>
      <c r="G32" s="25" t="str">
        <f t="shared" si="1"/>
        <v/>
      </c>
      <c r="J32" s="44"/>
      <c r="K32" s="44"/>
      <c r="L32" s="44"/>
      <c r="M32" s="44"/>
    </row>
    <row r="33" spans="2:13" x14ac:dyDescent="0.2">
      <c r="B33" s="51"/>
      <c r="C33" s="28"/>
      <c r="D33" s="22"/>
      <c r="E33" s="23"/>
      <c r="F33" s="16"/>
      <c r="G33" s="25" t="str">
        <f t="shared" si="1"/>
        <v/>
      </c>
      <c r="J33" s="46"/>
      <c r="K33" s="46"/>
      <c r="L33" s="46"/>
      <c r="M33" s="46"/>
    </row>
    <row r="34" spans="2:13" x14ac:dyDescent="0.2">
      <c r="B34" s="51"/>
      <c r="C34" s="14"/>
      <c r="D34" s="22"/>
      <c r="E34" s="23"/>
      <c r="F34" s="16"/>
      <c r="G34" s="25" t="str">
        <f t="shared" si="1"/>
        <v/>
      </c>
      <c r="H34" s="42"/>
      <c r="J34" s="41"/>
      <c r="K34" s="41"/>
      <c r="L34" s="41"/>
      <c r="M34" s="41"/>
    </row>
    <row r="35" spans="2:13" x14ac:dyDescent="0.2">
      <c r="B35" s="51"/>
      <c r="C35" s="14"/>
      <c r="D35" s="22"/>
      <c r="E35" s="23"/>
      <c r="F35" s="16"/>
      <c r="G35" s="25" t="str">
        <f t="shared" si="1"/>
        <v/>
      </c>
      <c r="H35" s="42"/>
      <c r="J35" s="41"/>
      <c r="K35" s="41"/>
      <c r="L35" s="41"/>
      <c r="M35" s="41"/>
    </row>
    <row r="36" spans="2:13" x14ac:dyDescent="0.2">
      <c r="B36" s="51"/>
      <c r="C36" s="14"/>
      <c r="D36" s="22"/>
      <c r="E36" s="23"/>
      <c r="F36" s="16"/>
      <c r="G36" s="25" t="str">
        <f t="shared" si="1"/>
        <v/>
      </c>
      <c r="H36" s="43"/>
      <c r="J36" s="40"/>
      <c r="K36" s="40"/>
      <c r="L36" s="40"/>
      <c r="M36" s="40"/>
    </row>
    <row r="37" spans="2:13" x14ac:dyDescent="0.2">
      <c r="B37" s="51"/>
      <c r="C37" s="14"/>
      <c r="D37" s="15"/>
      <c r="E37" s="26"/>
      <c r="F37" s="16"/>
      <c r="G37" s="25" t="str">
        <f t="shared" si="1"/>
        <v/>
      </c>
      <c r="H37" s="18"/>
      <c r="J37" s="29"/>
      <c r="K37" s="29"/>
      <c r="L37" s="29"/>
      <c r="M37" s="29"/>
    </row>
    <row r="38" spans="2:13" s="38" customFormat="1" x14ac:dyDescent="0.2">
      <c r="B38" s="51"/>
      <c r="C38" s="14"/>
      <c r="D38" s="15"/>
      <c r="E38" s="26"/>
      <c r="F38" s="16"/>
      <c r="G38" s="25" t="str">
        <f t="shared" si="1"/>
        <v/>
      </c>
      <c r="H38" s="18"/>
      <c r="J38" s="29"/>
      <c r="K38" s="29"/>
      <c r="L38" s="29"/>
      <c r="M38" s="29"/>
    </row>
    <row r="39" spans="2:13" x14ac:dyDescent="0.2">
      <c r="B39" s="51"/>
      <c r="C39" s="14"/>
      <c r="D39" s="22"/>
      <c r="E39" s="23"/>
      <c r="F39" s="16"/>
      <c r="G39" s="25" t="str">
        <f t="shared" si="1"/>
        <v/>
      </c>
      <c r="H39" s="43"/>
      <c r="J39" s="40"/>
      <c r="K39" s="40"/>
      <c r="L39" s="40"/>
      <c r="M39" s="40"/>
    </row>
    <row r="40" spans="2:13" x14ac:dyDescent="0.2">
      <c r="B40" s="51"/>
      <c r="C40" s="14"/>
      <c r="D40" s="22"/>
      <c r="E40" s="23"/>
      <c r="F40" s="16"/>
      <c r="G40" s="25" t="str">
        <f t="shared" si="1"/>
        <v/>
      </c>
      <c r="H40" s="43"/>
      <c r="J40" s="40"/>
      <c r="K40" s="40"/>
      <c r="L40" s="40"/>
      <c r="M40" s="40"/>
    </row>
    <row r="41" spans="2:13" x14ac:dyDescent="0.2">
      <c r="B41" s="51"/>
      <c r="C41" s="14"/>
      <c r="D41" s="22"/>
      <c r="E41" s="23"/>
      <c r="F41" s="16"/>
      <c r="G41" s="25" t="str">
        <f t="shared" si="1"/>
        <v/>
      </c>
      <c r="H41" s="42"/>
      <c r="J41" s="48"/>
      <c r="K41" s="48"/>
      <c r="L41" s="48"/>
      <c r="M41" s="48"/>
    </row>
    <row r="42" spans="2:13" x14ac:dyDescent="0.2">
      <c r="B42" s="51"/>
      <c r="C42" s="14"/>
      <c r="D42" s="22"/>
      <c r="E42" s="23"/>
      <c r="F42" s="16"/>
      <c r="G42" s="25" t="str">
        <f t="shared" si="1"/>
        <v/>
      </c>
      <c r="H42" s="42"/>
      <c r="J42" s="48"/>
      <c r="K42" s="48"/>
      <c r="L42" s="48"/>
      <c r="M42" s="48"/>
    </row>
    <row r="43" spans="2:13" x14ac:dyDescent="0.2">
      <c r="B43" s="51"/>
      <c r="C43" s="14"/>
      <c r="D43" s="22"/>
      <c r="E43" s="23"/>
      <c r="F43" s="16"/>
      <c r="G43" s="25" t="str">
        <f t="shared" si="1"/>
        <v/>
      </c>
      <c r="H43" s="42"/>
      <c r="J43" s="44"/>
      <c r="K43" s="44"/>
      <c r="L43" s="44"/>
      <c r="M43" s="44"/>
    </row>
    <row r="44" spans="2:13" x14ac:dyDescent="0.2">
      <c r="B44" s="51"/>
      <c r="C44" s="14"/>
      <c r="D44" s="22"/>
      <c r="E44" s="23"/>
      <c r="F44" s="16"/>
      <c r="G44" s="25" t="str">
        <f t="shared" si="1"/>
        <v/>
      </c>
      <c r="H44" s="42"/>
      <c r="J44" s="44"/>
      <c r="K44" s="44"/>
      <c r="L44" s="44"/>
      <c r="M44" s="44"/>
    </row>
    <row r="45" spans="2:13" x14ac:dyDescent="0.2">
      <c r="B45" s="51"/>
      <c r="C45" s="14"/>
      <c r="D45" s="22"/>
      <c r="E45" s="22"/>
      <c r="F45" s="16"/>
      <c r="G45" s="25" t="str">
        <f t="shared" si="1"/>
        <v/>
      </c>
      <c r="H45" s="42"/>
      <c r="J45" s="41"/>
      <c r="K45" s="41"/>
      <c r="L45" s="41"/>
      <c r="M45" s="41"/>
    </row>
    <row r="46" spans="2:13" x14ac:dyDescent="0.2">
      <c r="B46" s="51"/>
      <c r="C46" s="14"/>
      <c r="D46" s="22"/>
      <c r="E46" s="22"/>
      <c r="F46" s="16"/>
      <c r="G46" s="25" t="str">
        <f t="shared" si="1"/>
        <v/>
      </c>
      <c r="H46" s="42"/>
      <c r="J46" s="41"/>
      <c r="K46" s="41"/>
      <c r="L46" s="41"/>
      <c r="M46" s="41"/>
    </row>
    <row r="47" spans="2:13" x14ac:dyDescent="0.2">
      <c r="B47" s="51"/>
      <c r="C47" s="14"/>
      <c r="D47" s="22"/>
      <c r="E47" s="22"/>
      <c r="F47" s="16"/>
      <c r="G47" s="25" t="str">
        <f t="shared" si="1"/>
        <v/>
      </c>
      <c r="H47" s="42"/>
      <c r="J47" s="40"/>
      <c r="K47" s="40"/>
      <c r="L47" s="40"/>
      <c r="M47" s="40"/>
    </row>
    <row r="48" spans="2:13" x14ac:dyDescent="0.2">
      <c r="B48" s="51"/>
      <c r="C48" s="14"/>
      <c r="D48" s="22"/>
      <c r="E48" s="22"/>
      <c r="F48" s="16"/>
      <c r="G48" s="25" t="str">
        <f t="shared" si="1"/>
        <v/>
      </c>
      <c r="H48" s="42"/>
      <c r="J48" s="40"/>
      <c r="K48" s="40"/>
      <c r="L48" s="40"/>
      <c r="M48" s="40"/>
    </row>
    <row r="49" spans="2:13" x14ac:dyDescent="0.2">
      <c r="B49" s="51"/>
      <c r="C49" s="14"/>
      <c r="D49" s="22"/>
      <c r="E49" s="22"/>
      <c r="F49" s="16"/>
      <c r="G49" s="25" t="str">
        <f t="shared" si="1"/>
        <v/>
      </c>
      <c r="H49" s="42"/>
      <c r="J49" s="40"/>
      <c r="K49" s="40"/>
      <c r="L49" s="40"/>
      <c r="M49" s="40"/>
    </row>
    <row r="50" spans="2:13" x14ac:dyDescent="0.2">
      <c r="B50" s="51"/>
      <c r="C50" s="14"/>
      <c r="D50" s="22"/>
      <c r="E50" s="22"/>
      <c r="F50" s="16"/>
      <c r="G50" s="25" t="str">
        <f t="shared" si="1"/>
        <v/>
      </c>
      <c r="H50" s="42"/>
      <c r="J50" s="40"/>
      <c r="K50" s="40"/>
      <c r="L50" s="40"/>
      <c r="M50" s="40"/>
    </row>
    <row r="51" spans="2:13" x14ac:dyDescent="0.2">
      <c r="B51" s="51"/>
      <c r="C51" s="14"/>
      <c r="D51" s="22"/>
      <c r="E51" s="22"/>
      <c r="F51" s="16"/>
      <c r="G51" s="25" t="str">
        <f t="shared" si="1"/>
        <v/>
      </c>
      <c r="H51" s="42"/>
      <c r="J51" s="40"/>
      <c r="K51" s="40"/>
      <c r="L51" s="40"/>
      <c r="M51" s="40"/>
    </row>
    <row r="52" spans="2:13" x14ac:dyDescent="0.2">
      <c r="B52" s="51"/>
      <c r="C52" s="14"/>
      <c r="D52" s="22"/>
      <c r="E52" s="22"/>
      <c r="F52" s="16"/>
      <c r="G52" s="25" t="str">
        <f t="shared" si="1"/>
        <v/>
      </c>
      <c r="H52" s="42"/>
      <c r="J52" s="40"/>
      <c r="K52" s="40"/>
      <c r="L52" s="40"/>
      <c r="M52" s="40"/>
    </row>
    <row r="53" spans="2:13" x14ac:dyDescent="0.2">
      <c r="B53" s="51"/>
      <c r="C53" s="14"/>
      <c r="D53" s="22"/>
      <c r="E53" s="22"/>
      <c r="F53" s="16"/>
      <c r="G53" s="25" t="str">
        <f t="shared" si="1"/>
        <v/>
      </c>
      <c r="H53" s="42"/>
      <c r="J53" s="40"/>
      <c r="K53" s="40"/>
      <c r="L53" s="40"/>
      <c r="M53" s="40"/>
    </row>
    <row r="54" spans="2:13" x14ac:dyDescent="0.2">
      <c r="B54" s="51"/>
      <c r="C54" s="14"/>
      <c r="D54" s="22"/>
      <c r="E54" s="22"/>
      <c r="F54" s="16"/>
      <c r="G54" s="25" t="str">
        <f t="shared" si="1"/>
        <v/>
      </c>
      <c r="H54" s="42"/>
      <c r="J54" s="40"/>
      <c r="K54" s="40"/>
      <c r="L54" s="40"/>
      <c r="M54" s="40"/>
    </row>
    <row r="55" spans="2:13" x14ac:dyDescent="0.2">
      <c r="B55" s="51"/>
      <c r="C55" s="14"/>
      <c r="D55" s="22"/>
      <c r="E55" s="22"/>
      <c r="F55" s="16"/>
      <c r="G55" s="25" t="str">
        <f t="shared" si="1"/>
        <v/>
      </c>
      <c r="H55" s="42"/>
      <c r="J55" s="49"/>
      <c r="K55" s="49"/>
      <c r="L55" s="49"/>
      <c r="M55" s="49"/>
    </row>
    <row r="56" spans="2:13" x14ac:dyDescent="0.2">
      <c r="B56" s="51"/>
      <c r="C56" s="14"/>
      <c r="D56" s="22"/>
      <c r="E56" s="22"/>
      <c r="F56" s="16"/>
      <c r="G56" s="25" t="str">
        <f t="shared" si="1"/>
        <v/>
      </c>
      <c r="H56" s="42"/>
      <c r="J56" s="40"/>
      <c r="K56" s="40"/>
      <c r="L56" s="40"/>
      <c r="M56" s="40"/>
    </row>
    <row r="57" spans="2:13" x14ac:dyDescent="0.2">
      <c r="B57" s="51"/>
      <c r="C57" s="28"/>
      <c r="D57" s="22"/>
      <c r="E57" s="22"/>
      <c r="F57" s="16"/>
      <c r="G57" s="25" t="str">
        <f t="shared" si="1"/>
        <v/>
      </c>
      <c r="H57" s="42"/>
      <c r="J57" s="40"/>
      <c r="K57" s="40"/>
      <c r="L57" s="40"/>
      <c r="M57" s="40"/>
    </row>
    <row r="58" spans="2:13" x14ac:dyDescent="0.2">
      <c r="B58" s="51"/>
      <c r="C58" s="28"/>
      <c r="D58" s="39"/>
      <c r="E58" s="39"/>
      <c r="F58" s="16"/>
      <c r="G58" s="25" t="str">
        <f t="shared" si="1"/>
        <v/>
      </c>
      <c r="J58" s="40"/>
      <c r="K58" s="40"/>
      <c r="L58" s="40"/>
      <c r="M58" s="40"/>
    </row>
    <row r="59" spans="2:13" x14ac:dyDescent="0.2">
      <c r="B59" s="51"/>
      <c r="C59" s="14"/>
      <c r="D59" s="22"/>
      <c r="E59" s="22"/>
      <c r="F59" s="16"/>
      <c r="G59" s="25" t="str">
        <f t="shared" si="1"/>
        <v/>
      </c>
      <c r="H59" s="42"/>
      <c r="J59" s="40"/>
      <c r="K59" s="40"/>
      <c r="L59" s="40"/>
      <c r="M59" s="40"/>
    </row>
    <row r="60" spans="2:13" x14ac:dyDescent="0.2">
      <c r="B60" s="51"/>
      <c r="C60" s="28"/>
      <c r="D60" s="39"/>
      <c r="E60" s="39"/>
      <c r="F60" s="16"/>
      <c r="G60" s="25"/>
      <c r="H60" s="50"/>
      <c r="J60" s="40"/>
      <c r="K60" s="40"/>
      <c r="L60" s="40"/>
      <c r="M60" s="40"/>
    </row>
    <row r="61" spans="2:13" x14ac:dyDescent="0.2">
      <c r="B61" s="51"/>
      <c r="C61" s="27"/>
      <c r="D61" s="39"/>
      <c r="E61" s="39"/>
      <c r="F61" s="16"/>
      <c r="G61" s="25"/>
      <c r="J61" s="40"/>
      <c r="K61" s="40"/>
      <c r="L61" s="40"/>
      <c r="M61" s="40"/>
    </row>
    <row r="62" spans="2:13" x14ac:dyDescent="0.2">
      <c r="B62" s="51"/>
      <c r="C62" s="14"/>
      <c r="D62" s="22"/>
      <c r="E62" s="22"/>
      <c r="F62" s="16"/>
      <c r="G62" s="25"/>
      <c r="H62" s="42"/>
      <c r="J62" s="40"/>
      <c r="K62" s="40"/>
      <c r="L62" s="40"/>
      <c r="M62" s="40"/>
    </row>
    <row r="63" spans="2:13" x14ac:dyDescent="0.2">
      <c r="B63" s="51"/>
      <c r="C63" s="14"/>
      <c r="D63" s="22"/>
      <c r="E63" s="22"/>
      <c r="F63" s="16"/>
      <c r="G63" s="25"/>
      <c r="H63" s="42"/>
      <c r="J63" s="40"/>
      <c r="K63" s="40"/>
      <c r="L63" s="40"/>
      <c r="M63" s="40"/>
    </row>
    <row r="64" spans="2:13" x14ac:dyDescent="0.2">
      <c r="B64" s="51"/>
      <c r="C64" s="14"/>
      <c r="D64" s="22"/>
      <c r="E64" s="22"/>
      <c r="F64" s="16"/>
      <c r="G64" s="25"/>
      <c r="H64" s="42"/>
      <c r="J64" s="40"/>
      <c r="K64" s="40"/>
      <c r="L64" s="40"/>
      <c r="M64" s="40"/>
    </row>
    <row r="65" spans="2:13" s="30" customFormat="1" ht="24.95" customHeight="1" x14ac:dyDescent="0.2">
      <c r="B65" s="77" t="str">
        <f>B11</f>
        <v>C1.7</v>
      </c>
      <c r="C65" s="32" t="str">
        <f>"TOTAL CARRIED FORWARD"&amp;IF(G65=G$1," TO SUMMARY (Page C"&amp;Page_A&amp;")","")</f>
        <v>TOTAL CARRIED FORWARD TO SUMMARY (Page C49)</v>
      </c>
      <c r="D65" s="33"/>
      <c r="E65" s="34"/>
      <c r="F65" s="33"/>
      <c r="G65" s="352">
        <f>SUM(G5:G64)</f>
        <v>0</v>
      </c>
      <c r="H65" s="36"/>
      <c r="J65" s="33"/>
      <c r="K65" s="35">
        <f>SUM(K5:K64)</f>
        <v>0</v>
      </c>
      <c r="L65" s="33"/>
      <c r="M65" s="33"/>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3EFEA919-4582-488E-A2FC-13E3B0E531C4}">
            <xm:f>AND(Information!$C$8=FALSE,$D10&lt;&gt;"P C Sum",$D10&lt;&gt;"PC Sum",$D10&lt;&gt;"P Sum",$D10&lt;&gt;"Prov Sum")</xm:f>
            <x14:dxf>
              <font>
                <strike val="0"/>
                <color theme="0"/>
              </font>
              <numFmt numFmtId="4" formatCode="#,##0.00"/>
            </x14:dxf>
          </x14:cfRule>
          <xm:sqref>G65 F10:G64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2B17-7A70-4EDD-8125-E13825D8B5F1}">
  <sheetPr>
    <tabColor rgb="FF00B050"/>
  </sheetPr>
  <dimension ref="B1:M65"/>
  <sheetViews>
    <sheetView view="pageBreakPreview" topLeftCell="A37" zoomScaleNormal="125" zoomScaleSheetLayoutView="100" zoomScalePageLayoutView="125" workbookViewId="0">
      <selection activeCell="E23" sqref="E23"/>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3" width="15.5703125" style="1" customWidth="1"/>
    <col min="14" max="16384" width="6.85546875" style="1"/>
  </cols>
  <sheetData>
    <row r="1" spans="2:13" x14ac:dyDescent="0.2">
      <c r="G1" s="166">
        <f>MAX(G9:G498)</f>
        <v>50000</v>
      </c>
    </row>
    <row r="2" spans="2:13" x14ac:dyDescent="0.2">
      <c r="B2" s="2" t="str">
        <f>Client1</f>
        <v>Province of KwaZulu-Natal</v>
      </c>
      <c r="E2" s="703" t="str">
        <f>"Contract No. "&amp;ContractNo</f>
        <v>Contract No. ZNB02287/00000/00/MET/INF/24/T</v>
      </c>
      <c r="F2" s="703"/>
      <c r="G2" s="703"/>
      <c r="J2" s="293"/>
      <c r="K2" s="293">
        <f>MAX(K3:K243)</f>
        <v>2500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C2.1</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I9" s="9">
        <v>0.05</v>
      </c>
      <c r="J9" s="11"/>
      <c r="K9" s="11"/>
      <c r="L9" s="11"/>
      <c r="M9" s="11"/>
    </row>
    <row r="10" spans="2:13" x14ac:dyDescent="0.2">
      <c r="B10" s="51"/>
      <c r="C10" s="14"/>
      <c r="D10" s="15"/>
      <c r="E10" s="15"/>
      <c r="F10" s="16"/>
      <c r="G10" s="25" t="str">
        <f t="shared" ref="G10:G22" si="0">IF(D10="","",E10*F10)</f>
        <v/>
      </c>
      <c r="H10" s="18"/>
      <c r="J10" s="16"/>
      <c r="K10" s="16"/>
      <c r="L10" s="16"/>
      <c r="M10" s="16"/>
    </row>
    <row r="11" spans="2:13" ht="25.5" x14ac:dyDescent="0.2">
      <c r="B11" s="67" t="s">
        <v>775</v>
      </c>
      <c r="C11" s="20" t="s">
        <v>776</v>
      </c>
      <c r="D11" s="22"/>
      <c r="E11" s="22"/>
      <c r="F11" s="16"/>
      <c r="G11" s="25" t="str">
        <f t="shared" si="0"/>
        <v/>
      </c>
      <c r="H11" s="42"/>
      <c r="J11" s="41"/>
      <c r="K11" s="41"/>
      <c r="L11" s="41"/>
      <c r="M11" s="41"/>
    </row>
    <row r="12" spans="2:13" x14ac:dyDescent="0.2">
      <c r="B12" s="51"/>
      <c r="C12" s="14"/>
      <c r="D12" s="22"/>
      <c r="E12" s="22"/>
      <c r="F12" s="16"/>
      <c r="G12" s="25" t="str">
        <f t="shared" si="0"/>
        <v/>
      </c>
      <c r="H12" s="42"/>
      <c r="J12" s="41"/>
      <c r="K12" s="41"/>
      <c r="L12" s="41"/>
      <c r="M12" s="41"/>
    </row>
    <row r="13" spans="2:13" ht="25.5" x14ac:dyDescent="0.2">
      <c r="B13" s="51" t="s">
        <v>777</v>
      </c>
      <c r="C13" s="14" t="s">
        <v>778</v>
      </c>
      <c r="D13" s="22"/>
      <c r="E13" s="22"/>
      <c r="F13" s="16"/>
      <c r="G13" s="25" t="str">
        <f t="shared" si="0"/>
        <v/>
      </c>
      <c r="H13" s="42"/>
      <c r="J13" s="41"/>
      <c r="K13" s="41"/>
      <c r="L13" s="41"/>
      <c r="M13" s="41"/>
    </row>
    <row r="14" spans="2:13" x14ac:dyDescent="0.2">
      <c r="B14" s="51"/>
      <c r="C14" s="14"/>
      <c r="D14" s="22"/>
      <c r="E14" s="22"/>
      <c r="F14" s="16"/>
      <c r="G14" s="25" t="str">
        <f t="shared" si="0"/>
        <v/>
      </c>
      <c r="H14" s="42"/>
      <c r="J14" s="41"/>
      <c r="K14" s="41"/>
      <c r="L14" s="41"/>
      <c r="M14" s="41"/>
    </row>
    <row r="15" spans="2:13" x14ac:dyDescent="0.2">
      <c r="B15" s="51" t="s">
        <v>779</v>
      </c>
      <c r="C15" s="14" t="s">
        <v>780</v>
      </c>
      <c r="D15" s="22" t="s">
        <v>11</v>
      </c>
      <c r="E15" s="23">
        <v>1</v>
      </c>
      <c r="F15" s="510"/>
      <c r="G15" s="25">
        <f t="shared" si="0"/>
        <v>0</v>
      </c>
      <c r="H15" s="43"/>
      <c r="J15" s="24">
        <f>5%*F15</f>
        <v>0</v>
      </c>
      <c r="K15" s="46">
        <f>IF(J15="","",J15*E15)</f>
        <v>0</v>
      </c>
      <c r="L15" s="24"/>
      <c r="M15" s="24"/>
    </row>
    <row r="16" spans="2:13" x14ac:dyDescent="0.2">
      <c r="B16" s="51"/>
      <c r="C16" s="14"/>
      <c r="D16" s="22"/>
      <c r="E16" s="23"/>
      <c r="F16" s="510"/>
      <c r="G16" s="25" t="str">
        <f t="shared" si="0"/>
        <v/>
      </c>
      <c r="H16" s="43"/>
      <c r="J16" s="24"/>
      <c r="K16" s="24"/>
      <c r="L16" s="24"/>
      <c r="M16" s="24"/>
    </row>
    <row r="17" spans="2:13" ht="25.5" x14ac:dyDescent="0.2">
      <c r="B17" s="51" t="s">
        <v>781</v>
      </c>
      <c r="C17" s="14" t="s">
        <v>782</v>
      </c>
      <c r="D17" s="22" t="s">
        <v>171</v>
      </c>
      <c r="E17" s="23">
        <v>1</v>
      </c>
      <c r="F17" s="510">
        <v>50000</v>
      </c>
      <c r="G17" s="25">
        <f t="shared" si="0"/>
        <v>50000</v>
      </c>
      <c r="H17" s="43"/>
      <c r="J17" s="24">
        <f>5%*F17</f>
        <v>2500</v>
      </c>
      <c r="K17" s="46">
        <f>IF(J17="","",J17*E17)</f>
        <v>2500</v>
      </c>
      <c r="L17" s="24"/>
      <c r="M17" s="24"/>
    </row>
    <row r="18" spans="2:13" x14ac:dyDescent="0.2">
      <c r="B18" s="51"/>
      <c r="C18" s="14"/>
      <c r="D18" s="22"/>
      <c r="E18" s="23"/>
      <c r="F18" s="510"/>
      <c r="G18" s="25" t="str">
        <f t="shared" si="0"/>
        <v/>
      </c>
      <c r="H18" s="43"/>
      <c r="J18" s="24"/>
      <c r="K18" s="46" t="str">
        <f>IF(J18="","",J18*E18)</f>
        <v/>
      </c>
      <c r="L18" s="24"/>
      <c r="M18" s="24"/>
    </row>
    <row r="19" spans="2:13" ht="25.5" x14ac:dyDescent="0.2">
      <c r="B19" s="51" t="s">
        <v>783</v>
      </c>
      <c r="C19" s="14" t="s">
        <v>784</v>
      </c>
      <c r="D19" s="22" t="s">
        <v>25</v>
      </c>
      <c r="E19" s="372">
        <v>50000</v>
      </c>
      <c r="F19" s="510"/>
      <c r="G19" s="25">
        <f t="shared" si="0"/>
        <v>0</v>
      </c>
      <c r="H19" s="43"/>
      <c r="J19" s="24">
        <f>_LabourDaily/2.5</f>
        <v>0</v>
      </c>
      <c r="K19" s="46">
        <f>IF(J19="","",J19*E19)</f>
        <v>0</v>
      </c>
      <c r="L19" s="24"/>
      <c r="M19" s="24"/>
    </row>
    <row r="20" spans="2:13" x14ac:dyDescent="0.2">
      <c r="B20" s="51"/>
      <c r="C20" s="14"/>
      <c r="D20" s="22"/>
      <c r="E20" s="23"/>
      <c r="F20" s="510"/>
      <c r="G20" s="25" t="str">
        <f t="shared" si="0"/>
        <v/>
      </c>
      <c r="H20" s="43"/>
      <c r="J20" s="24"/>
      <c r="K20" s="46" t="str">
        <f>IF(J20="","",J20*E20)</f>
        <v/>
      </c>
      <c r="L20" s="24"/>
      <c r="M20" s="24"/>
    </row>
    <row r="21" spans="2:13" x14ac:dyDescent="0.2">
      <c r="B21" s="51"/>
      <c r="C21" s="14"/>
      <c r="D21" s="22"/>
      <c r="E21" s="23"/>
      <c r="F21" s="510"/>
      <c r="G21" s="25"/>
      <c r="H21" s="42"/>
      <c r="J21" s="41"/>
      <c r="K21" s="46" t="str">
        <f>IF(J21="","",J21*E21)</f>
        <v/>
      </c>
      <c r="L21" s="41"/>
      <c r="M21" s="41"/>
    </row>
    <row r="22" spans="2:13" x14ac:dyDescent="0.2">
      <c r="B22" s="51"/>
      <c r="C22" s="14"/>
      <c r="D22" s="22"/>
      <c r="E22" s="23"/>
      <c r="F22" s="510"/>
      <c r="G22" s="25" t="str">
        <f t="shared" si="0"/>
        <v/>
      </c>
      <c r="H22" s="42"/>
      <c r="J22" s="44"/>
      <c r="K22" s="44"/>
      <c r="L22" s="44"/>
      <c r="M22" s="44"/>
    </row>
    <row r="23" spans="2:13" x14ac:dyDescent="0.2">
      <c r="B23" s="51"/>
      <c r="C23" s="14"/>
      <c r="D23" s="22"/>
      <c r="E23" s="23"/>
      <c r="F23" s="16"/>
      <c r="G23" s="25"/>
      <c r="H23" s="45"/>
      <c r="J23" s="41"/>
      <c r="K23" s="41"/>
      <c r="L23" s="41"/>
      <c r="M23" s="41"/>
    </row>
    <row r="24" spans="2:13" x14ac:dyDescent="0.2">
      <c r="B24" s="51"/>
      <c r="C24" s="14"/>
      <c r="D24" s="22"/>
      <c r="E24" s="23"/>
      <c r="F24" s="16"/>
      <c r="G24" s="25"/>
      <c r="H24" s="45"/>
      <c r="J24" s="41"/>
      <c r="K24" s="41"/>
      <c r="L24" s="41"/>
      <c r="M24" s="41"/>
    </row>
    <row r="25" spans="2:13" x14ac:dyDescent="0.2">
      <c r="B25" s="51"/>
      <c r="C25" s="14"/>
      <c r="D25" s="22"/>
      <c r="E25" s="23"/>
      <c r="F25" s="16"/>
      <c r="G25" s="25"/>
      <c r="J25" s="46"/>
      <c r="K25" s="46"/>
      <c r="L25" s="46"/>
      <c r="M25" s="46"/>
    </row>
    <row r="26" spans="2:13" x14ac:dyDescent="0.2">
      <c r="B26" s="51"/>
      <c r="C26" s="14"/>
      <c r="D26" s="22"/>
      <c r="E26" s="23"/>
      <c r="F26" s="16"/>
      <c r="G26" s="25"/>
      <c r="J26" s="46"/>
      <c r="K26" s="46"/>
      <c r="L26" s="46"/>
      <c r="M26" s="46"/>
    </row>
    <row r="27" spans="2:13" x14ac:dyDescent="0.2">
      <c r="B27" s="51"/>
      <c r="C27" s="14"/>
      <c r="D27" s="22"/>
      <c r="E27" s="23"/>
      <c r="F27" s="16"/>
      <c r="G27" s="25"/>
      <c r="J27" s="40"/>
      <c r="K27" s="40"/>
      <c r="L27" s="40"/>
      <c r="M27" s="40"/>
    </row>
    <row r="28" spans="2:13" x14ac:dyDescent="0.2">
      <c r="B28" s="51"/>
      <c r="C28" s="14"/>
      <c r="D28" s="22"/>
      <c r="E28" s="23"/>
      <c r="F28" s="16"/>
      <c r="G28" s="25"/>
      <c r="J28" s="40"/>
      <c r="K28" s="40"/>
      <c r="L28" s="40"/>
      <c r="M28" s="40"/>
    </row>
    <row r="29" spans="2:13" x14ac:dyDescent="0.2">
      <c r="B29" s="51"/>
      <c r="C29" s="14"/>
      <c r="D29" s="22"/>
      <c r="E29" s="23"/>
      <c r="F29" s="16"/>
      <c r="G29" s="25"/>
      <c r="J29" s="46"/>
      <c r="K29" s="46"/>
      <c r="L29" s="46"/>
      <c r="M29" s="46"/>
    </row>
    <row r="30" spans="2:13" x14ac:dyDescent="0.2">
      <c r="B30" s="51"/>
      <c r="C30" s="28"/>
      <c r="D30" s="22"/>
      <c r="E30" s="23"/>
      <c r="F30" s="16"/>
      <c r="G30" s="25"/>
      <c r="J30" s="46"/>
      <c r="K30" s="46"/>
      <c r="L30" s="46"/>
      <c r="M30" s="46"/>
    </row>
    <row r="31" spans="2:13" x14ac:dyDescent="0.2">
      <c r="B31" s="51"/>
      <c r="C31" s="28"/>
      <c r="D31" s="22"/>
      <c r="E31" s="23"/>
      <c r="F31" s="16"/>
      <c r="G31" s="25"/>
      <c r="J31" s="46"/>
      <c r="K31" s="46"/>
      <c r="L31" s="46"/>
      <c r="M31" s="46"/>
    </row>
    <row r="32" spans="2:13" x14ac:dyDescent="0.2">
      <c r="B32" s="51"/>
      <c r="C32" s="28"/>
      <c r="D32" s="22"/>
      <c r="E32" s="23"/>
      <c r="F32" s="16"/>
      <c r="G32" s="25"/>
      <c r="J32" s="44"/>
      <c r="K32" s="44"/>
      <c r="L32" s="44"/>
      <c r="M32" s="44"/>
    </row>
    <row r="33" spans="2:13" x14ac:dyDescent="0.2">
      <c r="B33" s="51"/>
      <c r="C33" s="28"/>
      <c r="D33" s="22"/>
      <c r="E33" s="23"/>
      <c r="F33" s="16"/>
      <c r="G33" s="25"/>
      <c r="J33" s="46"/>
      <c r="K33" s="46"/>
      <c r="L33" s="46"/>
      <c r="M33" s="46"/>
    </row>
    <row r="34" spans="2:13" x14ac:dyDescent="0.2">
      <c r="B34" s="51"/>
      <c r="C34" s="14"/>
      <c r="D34" s="22"/>
      <c r="E34" s="23"/>
      <c r="F34" s="16"/>
      <c r="G34" s="25"/>
      <c r="H34" s="42"/>
      <c r="J34" s="41"/>
      <c r="K34" s="41"/>
      <c r="L34" s="41"/>
      <c r="M34" s="41"/>
    </row>
    <row r="35" spans="2:13" x14ac:dyDescent="0.2">
      <c r="B35" s="51"/>
      <c r="C35" s="14"/>
      <c r="D35" s="22"/>
      <c r="E35" s="23"/>
      <c r="F35" s="16"/>
      <c r="G35" s="25" t="str">
        <f t="shared" ref="G35:G59" si="1">IF(D35="","",E35*F35)</f>
        <v/>
      </c>
      <c r="H35" s="42"/>
      <c r="J35" s="41"/>
      <c r="K35" s="41"/>
      <c r="L35" s="41"/>
      <c r="M35" s="41"/>
    </row>
    <row r="36" spans="2:13" x14ac:dyDescent="0.2">
      <c r="B36" s="51"/>
      <c r="C36" s="14"/>
      <c r="D36" s="22"/>
      <c r="E36" s="23"/>
      <c r="F36" s="16"/>
      <c r="G36" s="25" t="str">
        <f t="shared" si="1"/>
        <v/>
      </c>
      <c r="H36" s="43"/>
      <c r="J36" s="40"/>
      <c r="K36" s="40"/>
      <c r="L36" s="40"/>
      <c r="M36" s="40"/>
    </row>
    <row r="37" spans="2:13" x14ac:dyDescent="0.2">
      <c r="B37" s="51"/>
      <c r="C37" s="14"/>
      <c r="D37" s="15"/>
      <c r="E37" s="26"/>
      <c r="F37" s="16"/>
      <c r="G37" s="25" t="str">
        <f t="shared" si="1"/>
        <v/>
      </c>
      <c r="H37" s="18"/>
      <c r="J37" s="29"/>
      <c r="K37" s="29"/>
      <c r="L37" s="29"/>
      <c r="M37" s="29"/>
    </row>
    <row r="38" spans="2:13" s="38" customFormat="1" x14ac:dyDescent="0.2">
      <c r="B38" s="51"/>
      <c r="C38" s="14"/>
      <c r="D38" s="15"/>
      <c r="E38" s="26"/>
      <c r="F38" s="16"/>
      <c r="G38" s="25" t="str">
        <f t="shared" si="1"/>
        <v/>
      </c>
      <c r="H38" s="18"/>
      <c r="J38" s="29"/>
      <c r="K38" s="29"/>
      <c r="L38" s="29"/>
      <c r="M38" s="29"/>
    </row>
    <row r="39" spans="2:13" x14ac:dyDescent="0.2">
      <c r="B39" s="51"/>
      <c r="C39" s="14"/>
      <c r="D39" s="22"/>
      <c r="E39" s="23"/>
      <c r="F39" s="16"/>
      <c r="G39" s="25" t="str">
        <f t="shared" si="1"/>
        <v/>
      </c>
      <c r="H39" s="43"/>
      <c r="J39" s="40"/>
      <c r="K39" s="40"/>
      <c r="L39" s="40"/>
      <c r="M39" s="40"/>
    </row>
    <row r="40" spans="2:13" x14ac:dyDescent="0.2">
      <c r="B40" s="51"/>
      <c r="C40" s="14"/>
      <c r="D40" s="22"/>
      <c r="E40" s="23"/>
      <c r="F40" s="16"/>
      <c r="G40" s="25" t="str">
        <f t="shared" si="1"/>
        <v/>
      </c>
      <c r="H40" s="43"/>
      <c r="J40" s="40"/>
      <c r="K40" s="40"/>
      <c r="L40" s="40"/>
      <c r="M40" s="40"/>
    </row>
    <row r="41" spans="2:13" x14ac:dyDescent="0.2">
      <c r="B41" s="51"/>
      <c r="C41" s="14"/>
      <c r="D41" s="22"/>
      <c r="E41" s="23"/>
      <c r="F41" s="16"/>
      <c r="G41" s="25" t="str">
        <f t="shared" si="1"/>
        <v/>
      </c>
      <c r="H41" s="42"/>
      <c r="J41" s="48"/>
      <c r="K41" s="48"/>
      <c r="L41" s="48"/>
      <c r="M41" s="48"/>
    </row>
    <row r="42" spans="2:13" x14ac:dyDescent="0.2">
      <c r="B42" s="51"/>
      <c r="C42" s="14"/>
      <c r="D42" s="22"/>
      <c r="E42" s="23"/>
      <c r="F42" s="16"/>
      <c r="G42" s="25" t="str">
        <f t="shared" si="1"/>
        <v/>
      </c>
      <c r="H42" s="42"/>
      <c r="J42" s="48"/>
      <c r="K42" s="48"/>
      <c r="L42" s="48"/>
      <c r="M42" s="48"/>
    </row>
    <row r="43" spans="2:13" x14ac:dyDescent="0.2">
      <c r="B43" s="51"/>
      <c r="C43" s="14"/>
      <c r="D43" s="22"/>
      <c r="E43" s="23"/>
      <c r="F43" s="16"/>
      <c r="G43" s="25" t="str">
        <f t="shared" si="1"/>
        <v/>
      </c>
      <c r="H43" s="42"/>
      <c r="J43" s="44"/>
      <c r="K43" s="44"/>
      <c r="L43" s="44"/>
      <c r="M43" s="44"/>
    </row>
    <row r="44" spans="2:13" x14ac:dyDescent="0.2">
      <c r="B44" s="51"/>
      <c r="C44" s="14"/>
      <c r="D44" s="22"/>
      <c r="E44" s="23"/>
      <c r="F44" s="16"/>
      <c r="G44" s="25" t="str">
        <f t="shared" si="1"/>
        <v/>
      </c>
      <c r="H44" s="42"/>
      <c r="J44" s="44"/>
      <c r="K44" s="44"/>
      <c r="L44" s="44"/>
      <c r="M44" s="44"/>
    </row>
    <row r="45" spans="2:13" x14ac:dyDescent="0.2">
      <c r="B45" s="51"/>
      <c r="C45" s="14"/>
      <c r="D45" s="22"/>
      <c r="E45" s="22"/>
      <c r="F45" s="16"/>
      <c r="G45" s="25" t="str">
        <f t="shared" si="1"/>
        <v/>
      </c>
      <c r="H45" s="42"/>
      <c r="J45" s="41"/>
      <c r="K45" s="41"/>
      <c r="L45" s="41"/>
      <c r="M45" s="41"/>
    </row>
    <row r="46" spans="2:13" x14ac:dyDescent="0.2">
      <c r="B46" s="51"/>
      <c r="C46" s="14"/>
      <c r="D46" s="22"/>
      <c r="E46" s="22"/>
      <c r="F46" s="16"/>
      <c r="G46" s="25" t="str">
        <f t="shared" si="1"/>
        <v/>
      </c>
      <c r="H46" s="42"/>
      <c r="J46" s="41"/>
      <c r="K46" s="41"/>
      <c r="L46" s="41"/>
      <c r="M46" s="41"/>
    </row>
    <row r="47" spans="2:13" x14ac:dyDescent="0.2">
      <c r="B47" s="51"/>
      <c r="C47" s="14"/>
      <c r="D47" s="22"/>
      <c r="E47" s="22"/>
      <c r="F47" s="16"/>
      <c r="G47" s="25" t="str">
        <f t="shared" si="1"/>
        <v/>
      </c>
      <c r="H47" s="42"/>
      <c r="J47" s="40"/>
      <c r="K47" s="40"/>
      <c r="L47" s="40"/>
      <c r="M47" s="40"/>
    </row>
    <row r="48" spans="2:13" x14ac:dyDescent="0.2">
      <c r="B48" s="51"/>
      <c r="C48" s="14"/>
      <c r="D48" s="22"/>
      <c r="E48" s="22"/>
      <c r="F48" s="16"/>
      <c r="G48" s="25" t="str">
        <f t="shared" si="1"/>
        <v/>
      </c>
      <c r="H48" s="42"/>
      <c r="J48" s="40"/>
      <c r="K48" s="40"/>
      <c r="L48" s="40"/>
      <c r="M48" s="40"/>
    </row>
    <row r="49" spans="2:13" x14ac:dyDescent="0.2">
      <c r="B49" s="51"/>
      <c r="C49" s="14"/>
      <c r="D49" s="22"/>
      <c r="E49" s="22"/>
      <c r="F49" s="16"/>
      <c r="G49" s="25" t="str">
        <f t="shared" si="1"/>
        <v/>
      </c>
      <c r="H49" s="42"/>
      <c r="J49" s="40"/>
      <c r="K49" s="40"/>
      <c r="L49" s="40"/>
      <c r="M49" s="40"/>
    </row>
    <row r="50" spans="2:13" x14ac:dyDescent="0.2">
      <c r="B50" s="51"/>
      <c r="C50" s="14"/>
      <c r="D50" s="22"/>
      <c r="E50" s="22"/>
      <c r="F50" s="16"/>
      <c r="G50" s="25" t="str">
        <f t="shared" si="1"/>
        <v/>
      </c>
      <c r="H50" s="42"/>
      <c r="J50" s="40"/>
      <c r="K50" s="40"/>
      <c r="L50" s="40"/>
      <c r="M50" s="40"/>
    </row>
    <row r="51" spans="2:13" x14ac:dyDescent="0.2">
      <c r="B51" s="51"/>
      <c r="C51" s="14"/>
      <c r="D51" s="22"/>
      <c r="E51" s="22"/>
      <c r="F51" s="16"/>
      <c r="G51" s="25" t="str">
        <f t="shared" si="1"/>
        <v/>
      </c>
      <c r="H51" s="42"/>
      <c r="J51" s="40"/>
      <c r="K51" s="40"/>
      <c r="L51" s="40"/>
      <c r="M51" s="40"/>
    </row>
    <row r="52" spans="2:13" x14ac:dyDescent="0.2">
      <c r="B52" s="51"/>
      <c r="C52" s="14"/>
      <c r="D52" s="22"/>
      <c r="E52" s="22"/>
      <c r="F52" s="16"/>
      <c r="G52" s="25" t="str">
        <f t="shared" si="1"/>
        <v/>
      </c>
      <c r="H52" s="42"/>
      <c r="J52" s="40"/>
      <c r="K52" s="40"/>
      <c r="L52" s="40"/>
      <c r="M52" s="40"/>
    </row>
    <row r="53" spans="2:13" x14ac:dyDescent="0.2">
      <c r="B53" s="51"/>
      <c r="C53" s="14"/>
      <c r="D53" s="22"/>
      <c r="E53" s="22"/>
      <c r="F53" s="16"/>
      <c r="G53" s="25" t="str">
        <f t="shared" si="1"/>
        <v/>
      </c>
      <c r="H53" s="42"/>
      <c r="J53" s="40"/>
      <c r="K53" s="40"/>
      <c r="L53" s="40"/>
      <c r="M53" s="40"/>
    </row>
    <row r="54" spans="2:13" x14ac:dyDescent="0.2">
      <c r="B54" s="51"/>
      <c r="C54" s="14"/>
      <c r="D54" s="22"/>
      <c r="E54" s="22"/>
      <c r="F54" s="16"/>
      <c r="G54" s="25" t="str">
        <f t="shared" si="1"/>
        <v/>
      </c>
      <c r="H54" s="42"/>
      <c r="J54" s="40"/>
      <c r="K54" s="40"/>
      <c r="L54" s="40"/>
      <c r="M54" s="40"/>
    </row>
    <row r="55" spans="2:13" x14ac:dyDescent="0.2">
      <c r="B55" s="51"/>
      <c r="C55" s="14"/>
      <c r="D55" s="22"/>
      <c r="E55" s="22"/>
      <c r="F55" s="16"/>
      <c r="G55" s="25" t="str">
        <f t="shared" si="1"/>
        <v/>
      </c>
      <c r="H55" s="42"/>
      <c r="J55" s="49"/>
      <c r="K55" s="49"/>
      <c r="L55" s="49"/>
      <c r="M55" s="49"/>
    </row>
    <row r="56" spans="2:13" x14ac:dyDescent="0.2">
      <c r="B56" s="51"/>
      <c r="C56" s="14"/>
      <c r="D56" s="22"/>
      <c r="E56" s="22"/>
      <c r="F56" s="16"/>
      <c r="G56" s="25" t="str">
        <f t="shared" si="1"/>
        <v/>
      </c>
      <c r="H56" s="42"/>
      <c r="J56" s="40"/>
      <c r="K56" s="40"/>
      <c r="L56" s="40"/>
      <c r="M56" s="40"/>
    </row>
    <row r="57" spans="2:13" x14ac:dyDescent="0.2">
      <c r="B57" s="51"/>
      <c r="C57" s="28"/>
      <c r="D57" s="22"/>
      <c r="E57" s="22"/>
      <c r="F57" s="16"/>
      <c r="G57" s="25" t="str">
        <f t="shared" si="1"/>
        <v/>
      </c>
      <c r="H57" s="42"/>
      <c r="J57" s="40"/>
      <c r="K57" s="40"/>
      <c r="L57" s="40"/>
      <c r="M57" s="40"/>
    </row>
    <row r="58" spans="2:13" x14ac:dyDescent="0.2">
      <c r="B58" s="51"/>
      <c r="C58" s="28"/>
      <c r="D58" s="39"/>
      <c r="E58" s="39"/>
      <c r="F58" s="16"/>
      <c r="G58" s="25" t="str">
        <f t="shared" si="1"/>
        <v/>
      </c>
      <c r="J58" s="40"/>
      <c r="K58" s="40"/>
      <c r="L58" s="40"/>
      <c r="M58" s="40"/>
    </row>
    <row r="59" spans="2:13" x14ac:dyDescent="0.2">
      <c r="B59" s="51"/>
      <c r="C59" s="14"/>
      <c r="D59" s="22"/>
      <c r="E59" s="22"/>
      <c r="F59" s="16"/>
      <c r="G59" s="25" t="str">
        <f t="shared" si="1"/>
        <v/>
      </c>
      <c r="H59" s="42"/>
      <c r="J59" s="40"/>
      <c r="K59" s="40"/>
      <c r="L59" s="40"/>
      <c r="M59" s="40"/>
    </row>
    <row r="60" spans="2:13" x14ac:dyDescent="0.2">
      <c r="B60" s="51"/>
      <c r="C60" s="28"/>
      <c r="D60" s="39"/>
      <c r="E60" s="39"/>
      <c r="F60" s="16"/>
      <c r="G60" s="25"/>
      <c r="H60" s="50"/>
      <c r="J60" s="40"/>
      <c r="K60" s="40"/>
      <c r="L60" s="40"/>
      <c r="M60" s="40"/>
    </row>
    <row r="61" spans="2:13" x14ac:dyDescent="0.2">
      <c r="B61" s="51"/>
      <c r="C61" s="27"/>
      <c r="D61" s="39"/>
      <c r="E61" s="39"/>
      <c r="F61" s="16"/>
      <c r="G61" s="25"/>
      <c r="J61" s="40"/>
      <c r="K61" s="40"/>
      <c r="L61" s="40"/>
      <c r="M61" s="40"/>
    </row>
    <row r="62" spans="2:13" x14ac:dyDescent="0.2">
      <c r="B62" s="51"/>
      <c r="C62" s="14"/>
      <c r="D62" s="22"/>
      <c r="E62" s="22"/>
      <c r="F62" s="16"/>
      <c r="G62" s="25"/>
      <c r="H62" s="42"/>
      <c r="J62" s="40"/>
      <c r="K62" s="40"/>
      <c r="L62" s="40"/>
      <c r="M62" s="40"/>
    </row>
    <row r="63" spans="2:13" x14ac:dyDescent="0.2">
      <c r="B63" s="51"/>
      <c r="C63" s="14"/>
      <c r="D63" s="22"/>
      <c r="E63" s="22"/>
      <c r="F63" s="16"/>
      <c r="G63" s="25"/>
      <c r="H63" s="42"/>
      <c r="J63" s="40"/>
      <c r="K63" s="40"/>
      <c r="L63" s="40"/>
      <c r="M63" s="40"/>
    </row>
    <row r="64" spans="2:13" x14ac:dyDescent="0.2">
      <c r="B64" s="51"/>
      <c r="C64" s="14"/>
      <c r="D64" s="22"/>
      <c r="E64" s="22"/>
      <c r="F64" s="16"/>
      <c r="G64" s="25"/>
      <c r="H64" s="42"/>
      <c r="J64" s="40"/>
      <c r="K64" s="40"/>
      <c r="L64" s="40"/>
      <c r="M64" s="40"/>
    </row>
    <row r="65" spans="2:13" s="30" customFormat="1" ht="24.95" customHeight="1" x14ac:dyDescent="0.2">
      <c r="B65" s="77" t="str">
        <f>B11</f>
        <v>C2.1</v>
      </c>
      <c r="C65" s="32" t="str">
        <f>"TOTAL CARRIED FORWARD"&amp;IF(G65=G$1," TO SUMMARY (Page C"&amp;Page_A&amp;")","")</f>
        <v>TOTAL CARRIED FORWARD TO SUMMARY (Page C49)</v>
      </c>
      <c r="D65" s="33"/>
      <c r="E65" s="34"/>
      <c r="F65" s="33"/>
      <c r="G65" s="352">
        <f>SUM(G5:G64)</f>
        <v>50000</v>
      </c>
      <c r="H65" s="36"/>
      <c r="J65" s="33"/>
      <c r="K65" s="35">
        <f>SUM(K5:K64)</f>
        <v>2500</v>
      </c>
      <c r="L65" s="33"/>
      <c r="M65" s="33"/>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07A202E9-92E2-480A-B1C7-43F4CA212B01}">
            <xm:f>AND(Information!$C$8=FALSE,$D10&lt;&gt;"P C Sum",$D10&lt;&gt;"PC Sum",$D10&lt;&gt;"P Sum",$D10&lt;&gt;"Prov Sum")</xm:f>
            <x14:dxf>
              <font>
                <strike val="0"/>
                <color theme="0"/>
              </font>
              <numFmt numFmtId="4" formatCode="#,##0.00"/>
            </x14:dxf>
          </x14:cfRule>
          <xm:sqref>G65 F10:G64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D892-DDC2-4131-B915-F4D1DA869712}">
  <sheetPr codeName="Sheet8">
    <tabColor rgb="FF00B050"/>
  </sheetPr>
  <dimension ref="B1:M129"/>
  <sheetViews>
    <sheetView view="pageBreakPreview" topLeftCell="A85" zoomScale="88" zoomScaleNormal="125" zoomScaleSheetLayoutView="88" zoomScalePageLayoutView="125" workbookViewId="0">
      <selection activeCell="D107" sqref="D107"/>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0" width="7.85546875" style="1" bestFit="1" customWidth="1"/>
    <col min="11" max="11" width="11.7109375" style="1" bestFit="1" customWidth="1"/>
    <col min="12" max="16384" width="6.85546875" style="1"/>
  </cols>
  <sheetData>
    <row r="1" spans="2:13" x14ac:dyDescent="0.2">
      <c r="G1" s="166">
        <f>MAX(G9:G515)</f>
        <v>0</v>
      </c>
    </row>
    <row r="2" spans="2:13" x14ac:dyDescent="0.2">
      <c r="B2" s="2" t="str">
        <f>Client1</f>
        <v>Province of KwaZulu-Natal</v>
      </c>
      <c r="E2" s="703" t="str">
        <f>"Contract No. "&amp;ContractNo</f>
        <v>Contract No. ZNB02287/00000/00/MET/INF/24/T</v>
      </c>
      <c r="F2" s="703"/>
      <c r="G2" s="703"/>
      <c r="J2" s="293"/>
      <c r="K2" s="293">
        <f>MAX(K3:K260)</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C3.1</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530" t="s">
        <v>2</v>
      </c>
      <c r="E9" s="11" t="s">
        <v>3</v>
      </c>
      <c r="F9" s="531" t="s">
        <v>4</v>
      </c>
      <c r="G9" s="11" t="s">
        <v>5</v>
      </c>
      <c r="H9" s="12"/>
      <c r="J9" s="11"/>
      <c r="K9" s="11"/>
      <c r="L9" s="11"/>
      <c r="M9" s="11"/>
    </row>
    <row r="10" spans="2:13" x14ac:dyDescent="0.2">
      <c r="B10" s="524"/>
      <c r="C10" s="528"/>
      <c r="D10" s="520"/>
      <c r="E10" s="15"/>
      <c r="F10" s="532"/>
      <c r="G10" s="25" t="str">
        <f t="shared" ref="G10:G84" si="0">IF(D10="","",E10*F10)</f>
        <v/>
      </c>
      <c r="H10" s="18"/>
      <c r="J10" s="16"/>
      <c r="K10" s="16"/>
      <c r="L10" s="16"/>
      <c r="M10" s="16"/>
    </row>
    <row r="11" spans="2:13" x14ac:dyDescent="0.2">
      <c r="B11" s="525" t="s">
        <v>132</v>
      </c>
      <c r="C11" s="20" t="s">
        <v>131</v>
      </c>
      <c r="D11" s="520"/>
      <c r="E11" s="15"/>
      <c r="F11" s="532"/>
      <c r="G11" s="25" t="str">
        <f t="shared" si="0"/>
        <v/>
      </c>
      <c r="H11" s="18"/>
      <c r="J11" s="41"/>
      <c r="K11" s="41"/>
      <c r="L11" s="41"/>
      <c r="M11" s="41"/>
    </row>
    <row r="12" spans="2:13" x14ac:dyDescent="0.2">
      <c r="B12" s="525"/>
      <c r="C12" s="20"/>
      <c r="D12" s="520"/>
      <c r="E12" s="15"/>
      <c r="F12" s="532"/>
      <c r="G12" s="25"/>
      <c r="H12" s="18"/>
      <c r="J12" s="41"/>
      <c r="K12" s="41"/>
      <c r="L12" s="41"/>
      <c r="M12" s="41"/>
    </row>
    <row r="13" spans="2:13" x14ac:dyDescent="0.2">
      <c r="B13" s="525" t="s">
        <v>785</v>
      </c>
      <c r="C13" s="20" t="s">
        <v>786</v>
      </c>
      <c r="D13" s="520"/>
      <c r="E13" s="15"/>
      <c r="F13" s="532"/>
      <c r="G13" s="25"/>
      <c r="H13" s="18"/>
      <c r="J13" s="41"/>
      <c r="K13" s="41"/>
      <c r="L13" s="41"/>
      <c r="M13" s="41"/>
    </row>
    <row r="14" spans="2:13" ht="25.5" x14ac:dyDescent="0.2">
      <c r="B14" s="526" t="s">
        <v>787</v>
      </c>
      <c r="C14" s="14" t="s">
        <v>788</v>
      </c>
      <c r="D14" s="520"/>
      <c r="E14" s="15"/>
      <c r="F14" s="532"/>
      <c r="G14" s="25"/>
      <c r="H14" s="18"/>
      <c r="J14" s="41"/>
      <c r="K14" s="41"/>
      <c r="L14" s="41"/>
      <c r="M14" s="41"/>
    </row>
    <row r="15" spans="2:13" x14ac:dyDescent="0.2">
      <c r="B15" s="527"/>
      <c r="C15" s="14"/>
      <c r="D15" s="520"/>
      <c r="E15" s="15"/>
      <c r="F15" s="532"/>
      <c r="G15" s="25"/>
      <c r="H15" s="18"/>
      <c r="J15" s="41"/>
      <c r="K15" s="41"/>
      <c r="L15" s="41"/>
      <c r="M15" s="41"/>
    </row>
    <row r="16" spans="2:13" x14ac:dyDescent="0.2">
      <c r="B16" s="527"/>
      <c r="C16" s="14" t="s">
        <v>789</v>
      </c>
      <c r="D16" s="520" t="s">
        <v>181</v>
      </c>
      <c r="E16" s="15">
        <v>145</v>
      </c>
      <c r="F16" s="532"/>
      <c r="G16" s="25">
        <f t="shared" si="0"/>
        <v>0</v>
      </c>
      <c r="H16" s="18"/>
      <c r="J16" s="41"/>
      <c r="K16" s="41"/>
      <c r="L16" s="41"/>
      <c r="M16" s="41"/>
    </row>
    <row r="17" spans="2:13" x14ac:dyDescent="0.2">
      <c r="B17" s="527"/>
      <c r="C17" s="14"/>
      <c r="D17" s="520"/>
      <c r="E17" s="15"/>
      <c r="F17" s="532"/>
      <c r="G17" s="25" t="str">
        <f t="shared" si="0"/>
        <v/>
      </c>
      <c r="H17" s="18"/>
      <c r="J17" s="41"/>
      <c r="K17" s="41"/>
      <c r="L17" s="41"/>
      <c r="M17" s="41"/>
    </row>
    <row r="18" spans="2:13" ht="38.25" x14ac:dyDescent="0.2">
      <c r="B18" s="526" t="s">
        <v>790</v>
      </c>
      <c r="C18" s="14" t="s">
        <v>791</v>
      </c>
      <c r="D18" s="520" t="s">
        <v>181</v>
      </c>
      <c r="E18" s="15">
        <v>24</v>
      </c>
      <c r="F18" s="532"/>
      <c r="G18" s="25">
        <f t="shared" si="0"/>
        <v>0</v>
      </c>
      <c r="H18" s="18"/>
      <c r="J18" s="41"/>
      <c r="K18" s="41"/>
      <c r="L18" s="41"/>
      <c r="M18" s="41"/>
    </row>
    <row r="19" spans="2:13" x14ac:dyDescent="0.2">
      <c r="B19" s="525"/>
      <c r="C19" s="20"/>
      <c r="D19" s="520"/>
      <c r="E19" s="15"/>
      <c r="F19" s="532"/>
      <c r="G19" s="25" t="str">
        <f t="shared" si="0"/>
        <v/>
      </c>
      <c r="H19" s="18"/>
      <c r="J19" s="41"/>
      <c r="K19" s="41"/>
      <c r="L19" s="41"/>
      <c r="M19" s="41"/>
    </row>
    <row r="20" spans="2:13" s="30" customFormat="1" ht="25.5" x14ac:dyDescent="0.2">
      <c r="B20" s="521" t="s">
        <v>130</v>
      </c>
      <c r="C20" s="20" t="s">
        <v>395</v>
      </c>
      <c r="D20" s="522"/>
      <c r="E20" s="451"/>
      <c r="F20" s="533"/>
      <c r="G20" s="432" t="str">
        <f t="shared" si="0"/>
        <v/>
      </c>
      <c r="H20" s="452"/>
      <c r="J20" s="447"/>
      <c r="K20" s="447"/>
      <c r="L20" s="447"/>
      <c r="M20" s="447"/>
    </row>
    <row r="21" spans="2:13" x14ac:dyDescent="0.2">
      <c r="B21" s="519"/>
      <c r="C21" s="14"/>
      <c r="D21" s="520"/>
      <c r="E21" s="26"/>
      <c r="F21" s="532"/>
      <c r="G21" s="25" t="str">
        <f t="shared" si="0"/>
        <v/>
      </c>
      <c r="H21" s="18"/>
      <c r="J21" s="41"/>
      <c r="K21" s="41"/>
      <c r="L21" s="41"/>
      <c r="M21" s="41"/>
    </row>
    <row r="22" spans="2:13" ht="14.25" x14ac:dyDescent="0.2">
      <c r="B22" s="524" t="s">
        <v>129</v>
      </c>
      <c r="C22" s="14" t="s">
        <v>128</v>
      </c>
      <c r="D22" s="222" t="s">
        <v>23</v>
      </c>
      <c r="E22" s="26">
        <v>1200</v>
      </c>
      <c r="F22" s="532"/>
      <c r="G22" s="25">
        <f t="shared" si="0"/>
        <v>0</v>
      </c>
      <c r="H22" s="18"/>
      <c r="J22" s="41"/>
      <c r="K22" s="41"/>
      <c r="L22" s="41"/>
      <c r="M22" s="41"/>
    </row>
    <row r="23" spans="2:13" x14ac:dyDescent="0.2">
      <c r="B23" s="519"/>
      <c r="C23" s="14"/>
      <c r="D23" s="520"/>
      <c r="E23" s="26"/>
      <c r="F23" s="532"/>
      <c r="G23" s="25" t="str">
        <f t="shared" si="0"/>
        <v/>
      </c>
      <c r="H23" s="18"/>
      <c r="J23" s="41"/>
      <c r="K23" s="41"/>
      <c r="L23" s="41"/>
      <c r="M23" s="41"/>
    </row>
    <row r="24" spans="2:13" x14ac:dyDescent="0.2">
      <c r="B24" s="519" t="s">
        <v>792</v>
      </c>
      <c r="C24" s="14" t="s">
        <v>793</v>
      </c>
      <c r="D24" s="520" t="s">
        <v>181</v>
      </c>
      <c r="E24" s="26">
        <v>110</v>
      </c>
      <c r="F24" s="532"/>
      <c r="G24" s="25">
        <f t="shared" si="0"/>
        <v>0</v>
      </c>
      <c r="H24" s="18"/>
      <c r="J24" s="41"/>
      <c r="K24" s="41"/>
      <c r="L24" s="41"/>
      <c r="M24" s="41"/>
    </row>
    <row r="25" spans="2:13" x14ac:dyDescent="0.2">
      <c r="B25" s="519"/>
      <c r="C25" s="14"/>
      <c r="D25" s="520"/>
      <c r="E25" s="26"/>
      <c r="F25" s="532"/>
      <c r="G25" s="25" t="str">
        <f t="shared" si="0"/>
        <v/>
      </c>
      <c r="H25" s="18"/>
      <c r="J25" s="41"/>
      <c r="K25" s="41"/>
      <c r="L25" s="41"/>
      <c r="M25" s="41"/>
    </row>
    <row r="26" spans="2:13" x14ac:dyDescent="0.2">
      <c r="B26" s="519"/>
      <c r="C26" s="14"/>
      <c r="D26" s="520"/>
      <c r="E26" s="26"/>
      <c r="F26" s="532"/>
      <c r="G26" s="25" t="str">
        <f t="shared" si="0"/>
        <v/>
      </c>
      <c r="H26" s="18"/>
      <c r="J26" s="41"/>
      <c r="K26" s="41"/>
      <c r="L26" s="41"/>
      <c r="M26" s="41"/>
    </row>
    <row r="27" spans="2:13" s="30" customFormat="1" ht="38.25" x14ac:dyDescent="0.2">
      <c r="B27" s="521" t="s">
        <v>695</v>
      </c>
      <c r="C27" s="20" t="s">
        <v>696</v>
      </c>
      <c r="D27" s="522"/>
      <c r="E27" s="450"/>
      <c r="F27" s="533"/>
      <c r="G27" s="25" t="str">
        <f t="shared" si="0"/>
        <v/>
      </c>
      <c r="H27" s="452"/>
      <c r="J27" s="447"/>
      <c r="K27" s="447"/>
      <c r="L27" s="447"/>
      <c r="M27" s="447"/>
    </row>
    <row r="28" spans="2:13" s="30" customFormat="1" x14ac:dyDescent="0.2">
      <c r="B28" s="521"/>
      <c r="C28" s="20"/>
      <c r="D28" s="522"/>
      <c r="E28" s="450"/>
      <c r="F28" s="533"/>
      <c r="G28" s="25" t="str">
        <f t="shared" si="0"/>
        <v/>
      </c>
      <c r="H28" s="452"/>
      <c r="J28" s="447"/>
      <c r="K28" s="447"/>
      <c r="L28" s="447"/>
      <c r="M28" s="447"/>
    </row>
    <row r="29" spans="2:13" s="30" customFormat="1" x14ac:dyDescent="0.2">
      <c r="B29" s="521" t="s">
        <v>794</v>
      </c>
      <c r="C29" s="20" t="s">
        <v>795</v>
      </c>
      <c r="D29" s="522"/>
      <c r="E29" s="450"/>
      <c r="F29" s="533"/>
      <c r="G29" s="25" t="str">
        <f t="shared" si="0"/>
        <v/>
      </c>
      <c r="H29" s="452"/>
      <c r="J29" s="447"/>
      <c r="K29" s="447"/>
      <c r="L29" s="447"/>
      <c r="M29" s="447"/>
    </row>
    <row r="30" spans="2:13" s="30" customFormat="1" x14ac:dyDescent="0.2">
      <c r="B30" s="521"/>
      <c r="C30" s="20"/>
      <c r="D30" s="522"/>
      <c r="E30" s="450"/>
      <c r="F30" s="533"/>
      <c r="G30" s="25" t="str">
        <f t="shared" si="0"/>
        <v/>
      </c>
      <c r="H30" s="452"/>
      <c r="J30" s="447"/>
      <c r="K30" s="447"/>
      <c r="L30" s="447"/>
      <c r="M30" s="447"/>
    </row>
    <row r="31" spans="2:13" x14ac:dyDescent="0.2">
      <c r="B31" s="519" t="s">
        <v>34</v>
      </c>
      <c r="C31" s="14" t="s">
        <v>698</v>
      </c>
      <c r="D31" s="520" t="s">
        <v>181</v>
      </c>
      <c r="E31" s="15">
        <v>45</v>
      </c>
      <c r="F31" s="532"/>
      <c r="G31" s="25">
        <f t="shared" si="0"/>
        <v>0</v>
      </c>
      <c r="H31" s="18"/>
      <c r="J31" s="41"/>
      <c r="K31" s="41"/>
      <c r="L31" s="41"/>
      <c r="M31" s="41"/>
    </row>
    <row r="32" spans="2:13" x14ac:dyDescent="0.2">
      <c r="B32" s="519"/>
      <c r="C32" s="14"/>
      <c r="D32" s="520"/>
      <c r="E32" s="15"/>
      <c r="F32" s="532"/>
      <c r="G32" s="25" t="str">
        <f t="shared" si="0"/>
        <v/>
      </c>
      <c r="H32" s="18"/>
      <c r="J32" s="41"/>
      <c r="K32" s="41"/>
      <c r="L32" s="41"/>
      <c r="M32" s="41"/>
    </row>
    <row r="33" spans="2:13" x14ac:dyDescent="0.2">
      <c r="B33" s="519" t="s">
        <v>35</v>
      </c>
      <c r="C33" s="14" t="s">
        <v>699</v>
      </c>
      <c r="D33" s="520" t="s">
        <v>181</v>
      </c>
      <c r="E33" s="15">
        <v>45</v>
      </c>
      <c r="F33" s="532"/>
      <c r="G33" s="25">
        <f t="shared" si="0"/>
        <v>0</v>
      </c>
      <c r="H33" s="18"/>
      <c r="J33" s="41"/>
      <c r="K33" s="41"/>
      <c r="L33" s="41"/>
      <c r="M33" s="41"/>
    </row>
    <row r="34" spans="2:13" x14ac:dyDescent="0.2">
      <c r="B34" s="519"/>
      <c r="C34" s="14"/>
      <c r="D34" s="520"/>
      <c r="E34" s="15"/>
      <c r="F34" s="532"/>
      <c r="G34" s="25" t="str">
        <f t="shared" si="0"/>
        <v/>
      </c>
      <c r="H34" s="18"/>
      <c r="J34" s="41"/>
      <c r="K34" s="41"/>
      <c r="L34" s="41"/>
      <c r="M34" s="41"/>
    </row>
    <row r="35" spans="2:13" x14ac:dyDescent="0.2">
      <c r="B35" s="519" t="s">
        <v>40</v>
      </c>
      <c r="C35" s="14" t="s">
        <v>796</v>
      </c>
      <c r="D35" s="520" t="s">
        <v>181</v>
      </c>
      <c r="E35" s="15">
        <v>45</v>
      </c>
      <c r="F35" s="532"/>
      <c r="G35" s="25">
        <f t="shared" si="0"/>
        <v>0</v>
      </c>
      <c r="H35" s="18"/>
      <c r="J35" s="41"/>
      <c r="K35" s="41"/>
      <c r="L35" s="41"/>
      <c r="M35" s="41"/>
    </row>
    <row r="36" spans="2:13" x14ac:dyDescent="0.2">
      <c r="B36" s="519"/>
      <c r="C36" s="14"/>
      <c r="D36" s="520"/>
      <c r="E36" s="15"/>
      <c r="F36" s="532"/>
      <c r="G36" s="25" t="str">
        <f t="shared" si="0"/>
        <v/>
      </c>
      <c r="H36" s="18"/>
      <c r="J36" s="41"/>
      <c r="K36" s="41"/>
      <c r="L36" s="41"/>
      <c r="M36" s="41"/>
    </row>
    <row r="37" spans="2:13" s="30" customFormat="1" x14ac:dyDescent="0.2">
      <c r="B37" s="521" t="s">
        <v>697</v>
      </c>
      <c r="C37" s="20" t="s">
        <v>797</v>
      </c>
      <c r="D37" s="522"/>
      <c r="E37" s="450"/>
      <c r="F37" s="533"/>
      <c r="G37" s="432" t="str">
        <f t="shared" si="0"/>
        <v/>
      </c>
      <c r="H37" s="452"/>
      <c r="J37" s="447"/>
      <c r="K37" s="447"/>
      <c r="L37" s="447"/>
      <c r="M37" s="447"/>
    </row>
    <row r="38" spans="2:13" x14ac:dyDescent="0.2">
      <c r="B38" s="519"/>
      <c r="C38" s="14"/>
      <c r="D38" s="520"/>
      <c r="E38" s="15"/>
      <c r="F38" s="532"/>
      <c r="G38" s="25" t="str">
        <f t="shared" si="0"/>
        <v/>
      </c>
      <c r="H38" s="18"/>
      <c r="J38" s="41"/>
      <c r="K38" s="41"/>
      <c r="L38" s="41"/>
      <c r="M38" s="41"/>
    </row>
    <row r="39" spans="2:13" x14ac:dyDescent="0.2">
      <c r="B39" s="519" t="s">
        <v>34</v>
      </c>
      <c r="C39" s="14" t="s">
        <v>698</v>
      </c>
      <c r="D39" s="520" t="s">
        <v>181</v>
      </c>
      <c r="E39" s="15">
        <v>120</v>
      </c>
      <c r="F39" s="532"/>
      <c r="G39" s="25">
        <f t="shared" si="0"/>
        <v>0</v>
      </c>
      <c r="H39" s="18"/>
      <c r="J39" s="41"/>
      <c r="K39" s="41"/>
      <c r="L39" s="41"/>
      <c r="M39" s="41"/>
    </row>
    <row r="40" spans="2:13" x14ac:dyDescent="0.2">
      <c r="B40" s="519"/>
      <c r="C40" s="14"/>
      <c r="D40" s="520"/>
      <c r="E40" s="15"/>
      <c r="F40" s="532"/>
      <c r="G40" s="25" t="str">
        <f t="shared" si="0"/>
        <v/>
      </c>
      <c r="H40" s="18"/>
      <c r="J40" s="41"/>
      <c r="K40" s="41"/>
      <c r="L40" s="41"/>
      <c r="M40" s="41"/>
    </row>
    <row r="41" spans="2:13" x14ac:dyDescent="0.2">
      <c r="B41" s="519" t="s">
        <v>35</v>
      </c>
      <c r="C41" s="14" t="s">
        <v>699</v>
      </c>
      <c r="D41" s="520" t="s">
        <v>181</v>
      </c>
      <c r="E41" s="15">
        <v>80</v>
      </c>
      <c r="F41" s="532"/>
      <c r="G41" s="25">
        <f t="shared" si="0"/>
        <v>0</v>
      </c>
      <c r="H41" s="18"/>
      <c r="J41" s="41"/>
      <c r="K41" s="41"/>
      <c r="L41" s="41"/>
      <c r="M41" s="41"/>
    </row>
    <row r="42" spans="2:13" x14ac:dyDescent="0.2">
      <c r="B42" s="519"/>
      <c r="C42" s="14"/>
      <c r="D42" s="520"/>
      <c r="E42" s="15"/>
      <c r="F42" s="532"/>
      <c r="G42" s="25" t="str">
        <f t="shared" si="0"/>
        <v/>
      </c>
      <c r="H42" s="18"/>
      <c r="J42" s="41"/>
      <c r="K42" s="41"/>
      <c r="L42" s="41"/>
      <c r="M42" s="41"/>
    </row>
    <row r="43" spans="2:13" x14ac:dyDescent="0.2">
      <c r="B43" s="519" t="s">
        <v>40</v>
      </c>
      <c r="C43" s="14" t="s">
        <v>796</v>
      </c>
      <c r="D43" s="520" t="s">
        <v>181</v>
      </c>
      <c r="E43" s="15">
        <v>800</v>
      </c>
      <c r="F43" s="532"/>
      <c r="G43" s="25">
        <f t="shared" si="0"/>
        <v>0</v>
      </c>
      <c r="H43" s="18"/>
      <c r="J43" s="41"/>
      <c r="K43" s="41"/>
      <c r="L43" s="41"/>
      <c r="M43" s="41"/>
    </row>
    <row r="44" spans="2:13" x14ac:dyDescent="0.2">
      <c r="B44" s="519"/>
      <c r="C44" s="14"/>
      <c r="D44" s="520"/>
      <c r="E44" s="15"/>
      <c r="F44" s="56"/>
      <c r="G44" s="25" t="str">
        <f t="shared" si="0"/>
        <v/>
      </c>
      <c r="H44" s="18"/>
      <c r="J44" s="80"/>
      <c r="K44" s="80"/>
      <c r="L44" s="80"/>
      <c r="M44" s="80"/>
    </row>
    <row r="45" spans="2:13" s="30" customFormat="1" ht="25.5" x14ac:dyDescent="0.2">
      <c r="B45" s="521" t="s">
        <v>798</v>
      </c>
      <c r="C45" s="20" t="s">
        <v>799</v>
      </c>
      <c r="D45" s="522"/>
      <c r="E45" s="450"/>
      <c r="F45" s="523"/>
      <c r="G45" s="432" t="str">
        <f t="shared" si="0"/>
        <v/>
      </c>
      <c r="H45" s="452"/>
      <c r="J45" s="57"/>
      <c r="K45" s="57"/>
      <c r="L45" s="57"/>
      <c r="M45" s="57"/>
    </row>
    <row r="46" spans="2:13" x14ac:dyDescent="0.2">
      <c r="B46" s="519"/>
      <c r="C46" s="14"/>
      <c r="D46" s="520"/>
      <c r="E46" s="15"/>
      <c r="F46" s="56"/>
      <c r="G46" s="25" t="str">
        <f t="shared" si="0"/>
        <v/>
      </c>
      <c r="H46" s="18"/>
      <c r="J46" s="80"/>
      <c r="K46" s="80"/>
      <c r="L46" s="80"/>
      <c r="M46" s="80"/>
    </row>
    <row r="47" spans="2:13" ht="25.5" x14ac:dyDescent="0.2">
      <c r="B47" s="519" t="s">
        <v>800</v>
      </c>
      <c r="C47" s="14" t="s">
        <v>801</v>
      </c>
      <c r="D47" s="520"/>
      <c r="E47" s="15"/>
      <c r="F47" s="56"/>
      <c r="G47" s="25" t="str">
        <f t="shared" si="0"/>
        <v/>
      </c>
      <c r="H47" s="18"/>
      <c r="J47" s="80"/>
      <c r="K47" s="80"/>
      <c r="L47" s="80"/>
      <c r="M47" s="80"/>
    </row>
    <row r="48" spans="2:13" x14ac:dyDescent="0.2">
      <c r="B48" s="519"/>
      <c r="C48" s="14"/>
      <c r="D48" s="520"/>
      <c r="E48" s="15"/>
      <c r="F48" s="56"/>
      <c r="G48" s="25" t="str">
        <f t="shared" si="0"/>
        <v/>
      </c>
      <c r="H48" s="18"/>
      <c r="J48" s="80"/>
      <c r="K48" s="80"/>
      <c r="L48" s="80"/>
      <c r="M48" s="80"/>
    </row>
    <row r="49" spans="2:13" x14ac:dyDescent="0.2">
      <c r="B49" s="519"/>
      <c r="C49" s="14" t="s">
        <v>802</v>
      </c>
      <c r="D49" s="520" t="s">
        <v>181</v>
      </c>
      <c r="E49" s="15">
        <v>40</v>
      </c>
      <c r="F49" s="56"/>
      <c r="G49" s="25">
        <f t="shared" si="0"/>
        <v>0</v>
      </c>
      <c r="H49" s="18"/>
      <c r="J49" s="80"/>
      <c r="K49" s="80"/>
      <c r="L49" s="80"/>
      <c r="M49" s="80"/>
    </row>
    <row r="50" spans="2:13" x14ac:dyDescent="0.2">
      <c r="B50" s="519"/>
      <c r="C50" s="14"/>
      <c r="D50" s="520"/>
      <c r="E50" s="15"/>
      <c r="F50" s="56"/>
      <c r="G50" s="25" t="str">
        <f t="shared" si="0"/>
        <v/>
      </c>
      <c r="H50" s="18"/>
      <c r="J50" s="80"/>
      <c r="K50" s="80"/>
      <c r="L50" s="80"/>
      <c r="M50" s="80"/>
    </row>
    <row r="51" spans="2:13" x14ac:dyDescent="0.2">
      <c r="B51" s="519" t="s">
        <v>803</v>
      </c>
      <c r="C51" s="14" t="s">
        <v>804</v>
      </c>
      <c r="D51" s="520"/>
      <c r="E51" s="15"/>
      <c r="F51" s="56"/>
      <c r="G51" s="25" t="str">
        <f t="shared" si="0"/>
        <v/>
      </c>
      <c r="H51" s="18"/>
      <c r="J51" s="80"/>
      <c r="K51" s="80"/>
      <c r="L51" s="80"/>
      <c r="M51" s="80"/>
    </row>
    <row r="52" spans="2:13" x14ac:dyDescent="0.2">
      <c r="B52" s="519"/>
      <c r="C52" s="14"/>
      <c r="D52" s="520"/>
      <c r="E52" s="15"/>
      <c r="F52" s="56"/>
      <c r="G52" s="25" t="str">
        <f t="shared" si="0"/>
        <v/>
      </c>
      <c r="H52" s="18"/>
      <c r="J52" s="80"/>
      <c r="K52" s="80"/>
      <c r="L52" s="80"/>
      <c r="M52" s="80"/>
    </row>
    <row r="53" spans="2:13" x14ac:dyDescent="0.2">
      <c r="B53" s="519"/>
      <c r="C53" s="14"/>
      <c r="D53" s="520"/>
      <c r="E53" s="15"/>
      <c r="F53" s="56"/>
      <c r="G53" s="25" t="str">
        <f t="shared" si="0"/>
        <v/>
      </c>
      <c r="H53" s="18"/>
      <c r="J53" s="80"/>
      <c r="K53" s="80"/>
      <c r="L53" s="80"/>
      <c r="M53" s="80"/>
    </row>
    <row r="54" spans="2:13" x14ac:dyDescent="0.2">
      <c r="B54" s="519" t="s">
        <v>805</v>
      </c>
      <c r="C54" s="14" t="s">
        <v>806</v>
      </c>
      <c r="D54" s="520" t="s">
        <v>181</v>
      </c>
      <c r="E54" s="15">
        <v>40</v>
      </c>
      <c r="F54" s="56"/>
      <c r="G54" s="25">
        <f t="shared" si="0"/>
        <v>0</v>
      </c>
      <c r="H54" s="18"/>
      <c r="J54" s="80"/>
      <c r="K54" s="80"/>
      <c r="L54" s="80"/>
      <c r="M54" s="80"/>
    </row>
    <row r="55" spans="2:13" x14ac:dyDescent="0.2">
      <c r="B55" s="519"/>
      <c r="C55" s="14"/>
      <c r="D55" s="520"/>
      <c r="E55" s="15"/>
      <c r="F55" s="56"/>
      <c r="G55" s="25" t="str">
        <f t="shared" si="0"/>
        <v/>
      </c>
      <c r="H55" s="18"/>
      <c r="J55" s="80"/>
      <c r="K55" s="80"/>
      <c r="L55" s="80"/>
      <c r="M55" s="80"/>
    </row>
    <row r="56" spans="2:13" ht="25.5" x14ac:dyDescent="0.2">
      <c r="B56" s="519" t="s">
        <v>807</v>
      </c>
      <c r="C56" s="14" t="s">
        <v>808</v>
      </c>
      <c r="D56" s="520" t="s">
        <v>181</v>
      </c>
      <c r="E56" s="15">
        <v>40</v>
      </c>
      <c r="F56" s="56"/>
      <c r="G56" s="25">
        <f t="shared" si="0"/>
        <v>0</v>
      </c>
      <c r="H56" s="18"/>
      <c r="J56" s="80"/>
      <c r="K56" s="80"/>
      <c r="L56" s="80"/>
      <c r="M56" s="80"/>
    </row>
    <row r="57" spans="2:13" x14ac:dyDescent="0.2">
      <c r="B57" s="519"/>
      <c r="C57" s="14"/>
      <c r="D57" s="520"/>
      <c r="E57" s="15"/>
      <c r="F57" s="56"/>
      <c r="G57" s="25" t="str">
        <f t="shared" si="0"/>
        <v/>
      </c>
      <c r="H57" s="18"/>
      <c r="J57" s="80"/>
      <c r="K57" s="80"/>
      <c r="L57" s="80"/>
      <c r="M57" s="80"/>
    </row>
    <row r="58" spans="2:13" x14ac:dyDescent="0.2">
      <c r="B58" s="519"/>
      <c r="C58" s="14"/>
      <c r="D58" s="520"/>
      <c r="E58" s="15"/>
      <c r="F58" s="56"/>
      <c r="G58" s="25" t="str">
        <f t="shared" si="0"/>
        <v/>
      </c>
      <c r="H58" s="18"/>
      <c r="J58" s="80"/>
      <c r="K58" s="80"/>
      <c r="L58" s="80"/>
      <c r="M58" s="80"/>
    </row>
    <row r="59" spans="2:13" ht="25.5" x14ac:dyDescent="0.2">
      <c r="B59" s="519" t="s">
        <v>809</v>
      </c>
      <c r="C59" s="14" t="s">
        <v>810</v>
      </c>
      <c r="D59" s="520"/>
      <c r="E59" s="15"/>
      <c r="F59" s="56"/>
      <c r="G59" s="25" t="str">
        <f t="shared" si="0"/>
        <v/>
      </c>
      <c r="H59" s="18"/>
      <c r="J59" s="80"/>
      <c r="K59" s="80"/>
      <c r="L59" s="80"/>
      <c r="M59" s="80"/>
    </row>
    <row r="60" spans="2:13" x14ac:dyDescent="0.2">
      <c r="B60" s="519"/>
      <c r="C60" s="14"/>
      <c r="D60" s="520"/>
      <c r="E60" s="15"/>
      <c r="F60" s="56"/>
      <c r="G60" s="25" t="str">
        <f t="shared" si="0"/>
        <v/>
      </c>
      <c r="H60" s="18"/>
      <c r="J60" s="80"/>
      <c r="K60" s="80"/>
      <c r="L60" s="80"/>
      <c r="M60" s="80"/>
    </row>
    <row r="61" spans="2:13" ht="25.5" x14ac:dyDescent="0.2">
      <c r="B61" s="519" t="s">
        <v>811</v>
      </c>
      <c r="C61" s="14" t="s">
        <v>812</v>
      </c>
      <c r="D61" s="520" t="s">
        <v>181</v>
      </c>
      <c r="E61" s="15">
        <v>40</v>
      </c>
      <c r="F61" s="56"/>
      <c r="G61" s="25">
        <f t="shared" si="0"/>
        <v>0</v>
      </c>
      <c r="H61" s="18"/>
      <c r="J61" s="80"/>
      <c r="K61" s="80"/>
      <c r="L61" s="80"/>
      <c r="M61" s="80"/>
    </row>
    <row r="62" spans="2:13" x14ac:dyDescent="0.2">
      <c r="B62" s="519"/>
      <c r="C62" s="14"/>
      <c r="D62" s="520"/>
      <c r="E62" s="15"/>
      <c r="F62" s="56"/>
      <c r="G62" s="25" t="str">
        <f t="shared" si="0"/>
        <v/>
      </c>
      <c r="H62" s="18"/>
      <c r="J62" s="80"/>
      <c r="K62" s="80"/>
      <c r="L62" s="80"/>
      <c r="M62" s="80"/>
    </row>
    <row r="63" spans="2:13" ht="23.1" customHeight="1" x14ac:dyDescent="0.2">
      <c r="B63" s="519"/>
      <c r="C63" s="14"/>
      <c r="D63" s="520"/>
      <c r="E63" s="15"/>
      <c r="F63" s="56"/>
      <c r="G63" s="25" t="str">
        <f t="shared" si="0"/>
        <v/>
      </c>
      <c r="H63" s="18"/>
      <c r="J63" s="80"/>
      <c r="K63" s="80"/>
      <c r="L63" s="80"/>
      <c r="M63" s="80"/>
    </row>
    <row r="64" spans="2:13" x14ac:dyDescent="0.2">
      <c r="B64" s="519"/>
      <c r="C64" s="529"/>
      <c r="D64" s="520"/>
      <c r="E64" s="534"/>
      <c r="F64" s="56"/>
      <c r="G64" s="25"/>
      <c r="H64" s="18"/>
      <c r="J64" s="80"/>
      <c r="K64" s="80"/>
      <c r="L64" s="80"/>
      <c r="M64" s="80"/>
    </row>
    <row r="65" spans="2:13" s="30" customFormat="1" ht="24.95" customHeight="1" x14ac:dyDescent="0.2">
      <c r="B65" s="121" t="s">
        <v>132</v>
      </c>
      <c r="C65" s="32" t="s">
        <v>12</v>
      </c>
      <c r="D65" s="33"/>
      <c r="E65" s="34"/>
      <c r="F65" s="33"/>
      <c r="G65" s="518">
        <f>SUM(G11:H64)</f>
        <v>0</v>
      </c>
      <c r="H65" s="452"/>
      <c r="J65" s="57"/>
      <c r="K65" s="57"/>
      <c r="L65" s="57"/>
      <c r="M65" s="57"/>
    </row>
    <row r="66" spans="2:13" x14ac:dyDescent="0.2">
      <c r="B66" s="689" t="str">
        <f>Client1</f>
        <v>Province of KwaZulu-Natal</v>
      </c>
      <c r="C66" s="689"/>
      <c r="D66" s="689"/>
      <c r="E66" s="687" t="str">
        <f>"Contract No. "&amp;ContractNo</f>
        <v>Contract No. ZNB02287/00000/00/MET/INF/24/T</v>
      </c>
      <c r="F66" s="687"/>
      <c r="G66" s="687"/>
      <c r="H66" s="18"/>
      <c r="J66" s="80"/>
      <c r="K66" s="80"/>
      <c r="L66" s="80"/>
      <c r="M66" s="80"/>
    </row>
    <row r="67" spans="2:13" x14ac:dyDescent="0.2">
      <c r="B67" s="689" t="str">
        <f>Client2</f>
        <v>Department of Transport</v>
      </c>
      <c r="C67" s="689"/>
      <c r="D67" s="689"/>
      <c r="E67" s="687"/>
      <c r="F67" s="687"/>
      <c r="G67" s="687"/>
      <c r="H67" s="18"/>
      <c r="J67" s="80"/>
      <c r="K67" s="80"/>
      <c r="L67" s="80"/>
      <c r="M67" s="80"/>
    </row>
    <row r="68" spans="2:13" x14ac:dyDescent="0.2">
      <c r="B68" s="690"/>
      <c r="C68" s="690"/>
      <c r="D68" s="690"/>
      <c r="E68" s="688"/>
      <c r="F68" s="688"/>
      <c r="G68" s="688"/>
      <c r="H68" s="18"/>
      <c r="J68" s="80"/>
      <c r="K68" s="80"/>
      <c r="L68" s="80"/>
      <c r="M68" s="80"/>
    </row>
    <row r="69" spans="2:13" x14ac:dyDescent="0.2">
      <c r="B69" s="698" t="s">
        <v>8</v>
      </c>
      <c r="C69" s="699"/>
      <c r="D69" s="699"/>
      <c r="E69" s="699"/>
      <c r="F69" s="699"/>
      <c r="G69" s="700" t="str">
        <f>$G$5</f>
        <v>CHAPTER C3.1</v>
      </c>
      <c r="H69" s="18"/>
      <c r="J69" s="80"/>
      <c r="K69" s="80"/>
      <c r="L69" s="80"/>
      <c r="M69" s="80"/>
    </row>
    <row r="70" spans="2:13" x14ac:dyDescent="0.2">
      <c r="B70" s="691" t="str">
        <f>ContractDescription</f>
        <v>PROVISION OF ROUTINE AND SAFETY MAINTENANCE ON MIAN ROAD P3/1 (KM 69.00 TO KM 77.96), P3/2 (KM 0.00 TO KM 11.50), P21/2(KM 0.00 TO KM 29.83 IN THE ETHEKWINI METRO - DURBAN REGION</v>
      </c>
      <c r="C70" s="692"/>
      <c r="D70" s="692"/>
      <c r="E70" s="692"/>
      <c r="F70" s="692"/>
      <c r="G70" s="701"/>
      <c r="H70" s="18"/>
      <c r="J70" s="80"/>
      <c r="K70" s="80"/>
      <c r="L70" s="80"/>
      <c r="M70" s="80"/>
    </row>
    <row r="71" spans="2:13" x14ac:dyDescent="0.2">
      <c r="B71" s="691"/>
      <c r="C71" s="692"/>
      <c r="D71" s="692"/>
      <c r="E71" s="692"/>
      <c r="F71" s="692"/>
      <c r="G71" s="701"/>
      <c r="H71" s="18"/>
      <c r="J71" s="80"/>
      <c r="K71" s="80"/>
      <c r="L71" s="80"/>
      <c r="M71" s="80"/>
    </row>
    <row r="72" spans="2:13" x14ac:dyDescent="0.2">
      <c r="B72" s="693"/>
      <c r="C72" s="694"/>
      <c r="D72" s="694"/>
      <c r="E72" s="694"/>
      <c r="F72" s="694"/>
      <c r="G72" s="702"/>
      <c r="H72" s="18"/>
      <c r="J72" s="80"/>
      <c r="K72" s="80"/>
      <c r="L72" s="80"/>
      <c r="M72" s="80"/>
    </row>
    <row r="73" spans="2:13" x14ac:dyDescent="0.2">
      <c r="B73" s="68" t="s">
        <v>0</v>
      </c>
      <c r="C73" s="11" t="s">
        <v>1</v>
      </c>
      <c r="D73" s="11" t="s">
        <v>2</v>
      </c>
      <c r="E73" s="11" t="s">
        <v>3</v>
      </c>
      <c r="F73" s="11" t="s">
        <v>4</v>
      </c>
      <c r="G73" s="11" t="s">
        <v>5</v>
      </c>
      <c r="H73" s="18"/>
      <c r="J73" s="80"/>
      <c r="K73" s="80"/>
      <c r="L73" s="80"/>
      <c r="M73" s="80"/>
    </row>
    <row r="74" spans="2:13" ht="25.5" customHeight="1" x14ac:dyDescent="0.2">
      <c r="B74" s="74"/>
      <c r="C74" s="32" t="s">
        <v>26</v>
      </c>
      <c r="D74" s="74"/>
      <c r="E74" s="34"/>
      <c r="F74" s="74"/>
      <c r="G74" s="352">
        <f>G65</f>
        <v>0</v>
      </c>
      <c r="H74" s="18"/>
      <c r="J74" s="80"/>
      <c r="K74" s="80"/>
      <c r="L74" s="80"/>
      <c r="M74" s="80"/>
    </row>
    <row r="75" spans="2:13" x14ac:dyDescent="0.2">
      <c r="B75" s="519"/>
      <c r="C75" s="537"/>
      <c r="D75" s="15"/>
      <c r="E75" s="520"/>
      <c r="F75" s="16"/>
      <c r="G75" s="25"/>
      <c r="H75" s="18"/>
      <c r="J75" s="80"/>
      <c r="K75" s="80"/>
      <c r="L75" s="80"/>
      <c r="M75" s="80"/>
    </row>
    <row r="76" spans="2:13" ht="25.5" x14ac:dyDescent="0.2">
      <c r="B76" s="519" t="s">
        <v>813</v>
      </c>
      <c r="C76" s="527" t="s">
        <v>814</v>
      </c>
      <c r="D76" s="15"/>
      <c r="E76" s="520"/>
      <c r="F76" s="16"/>
      <c r="G76" s="25" t="str">
        <f t="shared" si="0"/>
        <v/>
      </c>
      <c r="H76" s="18"/>
      <c r="J76" s="80"/>
      <c r="K76" s="80"/>
      <c r="L76" s="80"/>
      <c r="M76" s="80"/>
    </row>
    <row r="77" spans="2:13" x14ac:dyDescent="0.2">
      <c r="B77" s="519"/>
      <c r="C77" s="527"/>
      <c r="D77" s="15"/>
      <c r="E77" s="520"/>
      <c r="F77" s="16"/>
      <c r="G77" s="25" t="str">
        <f t="shared" si="0"/>
        <v/>
      </c>
      <c r="H77" s="18"/>
      <c r="J77" s="80"/>
      <c r="K77" s="80"/>
      <c r="L77" s="80"/>
      <c r="M77" s="80"/>
    </row>
    <row r="78" spans="2:13" ht="25.5" x14ac:dyDescent="0.2">
      <c r="B78" s="519" t="s">
        <v>815</v>
      </c>
      <c r="C78" s="527" t="s">
        <v>816</v>
      </c>
      <c r="D78" s="15" t="s">
        <v>181</v>
      </c>
      <c r="E78" s="520">
        <v>40</v>
      </c>
      <c r="F78" s="16"/>
      <c r="G78" s="25">
        <f t="shared" si="0"/>
        <v>0</v>
      </c>
      <c r="H78" s="18"/>
      <c r="J78" s="80"/>
      <c r="K78" s="80"/>
      <c r="L78" s="80"/>
      <c r="M78" s="80"/>
    </row>
    <row r="79" spans="2:13" x14ac:dyDescent="0.2">
      <c r="B79" s="519"/>
      <c r="C79" s="527"/>
      <c r="D79" s="15"/>
      <c r="E79" s="520"/>
      <c r="F79" s="16"/>
      <c r="G79" s="25" t="str">
        <f t="shared" si="0"/>
        <v/>
      </c>
      <c r="H79" s="18"/>
      <c r="J79" s="80"/>
      <c r="K79" s="80"/>
      <c r="L79" s="80"/>
      <c r="M79" s="80"/>
    </row>
    <row r="80" spans="2:13" x14ac:dyDescent="0.2">
      <c r="B80" s="519" t="s">
        <v>817</v>
      </c>
      <c r="C80" s="527" t="s">
        <v>818</v>
      </c>
      <c r="D80" s="15"/>
      <c r="E80" s="520"/>
      <c r="F80" s="16"/>
      <c r="G80" s="25" t="str">
        <f t="shared" si="0"/>
        <v/>
      </c>
      <c r="H80" s="18"/>
      <c r="J80" s="80"/>
      <c r="K80" s="80"/>
      <c r="L80" s="80"/>
      <c r="M80" s="80"/>
    </row>
    <row r="81" spans="2:13" x14ac:dyDescent="0.2">
      <c r="B81" s="519"/>
      <c r="C81" s="527"/>
      <c r="D81" s="15"/>
      <c r="E81" s="520"/>
      <c r="F81" s="16"/>
      <c r="G81" s="25" t="str">
        <f t="shared" si="0"/>
        <v/>
      </c>
      <c r="H81" s="18"/>
      <c r="J81" s="80"/>
      <c r="K81" s="80"/>
      <c r="L81" s="80"/>
      <c r="M81" s="80"/>
    </row>
    <row r="82" spans="2:13" ht="25.5" x14ac:dyDescent="0.2">
      <c r="B82" s="519" t="s">
        <v>819</v>
      </c>
      <c r="C82" s="527" t="s">
        <v>820</v>
      </c>
      <c r="D82" s="15" t="s">
        <v>6</v>
      </c>
      <c r="E82" s="520">
        <v>40</v>
      </c>
      <c r="F82" s="16"/>
      <c r="G82" s="25">
        <f t="shared" si="0"/>
        <v>0</v>
      </c>
      <c r="H82" s="18"/>
      <c r="J82" s="80"/>
      <c r="K82" s="80"/>
      <c r="L82" s="80"/>
      <c r="M82" s="80"/>
    </row>
    <row r="83" spans="2:13" x14ac:dyDescent="0.2">
      <c r="B83" s="519"/>
      <c r="C83" s="527"/>
      <c r="D83" s="15"/>
      <c r="E83" s="520"/>
      <c r="F83" s="16"/>
      <c r="G83" s="25" t="str">
        <f t="shared" si="0"/>
        <v/>
      </c>
      <c r="H83" s="18"/>
      <c r="J83" s="80"/>
      <c r="K83" s="80"/>
      <c r="L83" s="80"/>
      <c r="M83" s="80"/>
    </row>
    <row r="84" spans="2:13" ht="14.25" x14ac:dyDescent="0.2">
      <c r="B84" s="519" t="s">
        <v>821</v>
      </c>
      <c r="C84" s="527" t="s">
        <v>822</v>
      </c>
      <c r="D84" s="22" t="s">
        <v>51</v>
      </c>
      <c r="E84" s="520">
        <v>80</v>
      </c>
      <c r="F84" s="16"/>
      <c r="G84" s="25">
        <f t="shared" si="0"/>
        <v>0</v>
      </c>
      <c r="H84" s="18"/>
      <c r="J84" s="80"/>
      <c r="K84" s="80"/>
      <c r="L84" s="80"/>
      <c r="M84" s="80"/>
    </row>
    <row r="85" spans="2:13" x14ac:dyDescent="0.2">
      <c r="B85" s="519"/>
      <c r="C85" s="527"/>
      <c r="D85" s="15"/>
      <c r="E85" s="520"/>
      <c r="F85" s="16"/>
      <c r="G85" s="25" t="str">
        <f t="shared" ref="G85:G110" si="1">IF(D85="","",E85*F85)</f>
        <v/>
      </c>
      <c r="H85" s="18"/>
      <c r="J85" s="80"/>
      <c r="K85" s="80"/>
      <c r="L85" s="80"/>
      <c r="M85" s="80"/>
    </row>
    <row r="86" spans="2:13" ht="38.25" x14ac:dyDescent="0.2">
      <c r="B86" s="519" t="s">
        <v>824</v>
      </c>
      <c r="C86" s="527" t="s">
        <v>825</v>
      </c>
      <c r="D86" s="15"/>
      <c r="E86" s="520"/>
      <c r="F86" s="16"/>
      <c r="G86" s="25" t="str">
        <f t="shared" si="1"/>
        <v/>
      </c>
      <c r="H86" s="18"/>
      <c r="J86" s="80"/>
      <c r="K86" s="80"/>
      <c r="L86" s="80"/>
      <c r="M86" s="80"/>
    </row>
    <row r="87" spans="2:13" x14ac:dyDescent="0.2">
      <c r="B87" s="519"/>
      <c r="C87" s="527"/>
      <c r="D87" s="15"/>
      <c r="E87" s="520"/>
      <c r="F87" s="16"/>
      <c r="G87" s="25" t="str">
        <f t="shared" si="1"/>
        <v/>
      </c>
      <c r="H87" s="18"/>
      <c r="J87" s="80"/>
      <c r="K87" s="80"/>
      <c r="L87" s="80"/>
      <c r="M87" s="80"/>
    </row>
    <row r="88" spans="2:13" ht="25.5" x14ac:dyDescent="0.2">
      <c r="B88" s="519" t="s">
        <v>826</v>
      </c>
      <c r="C88" s="527" t="s">
        <v>827</v>
      </c>
      <c r="D88" s="15" t="s">
        <v>33</v>
      </c>
      <c r="E88" s="520">
        <v>2</v>
      </c>
      <c r="F88" s="16"/>
      <c r="G88" s="25">
        <f t="shared" si="1"/>
        <v>0</v>
      </c>
      <c r="H88" s="18"/>
      <c r="J88" s="80"/>
      <c r="K88" s="80"/>
      <c r="L88" s="80"/>
      <c r="M88" s="80"/>
    </row>
    <row r="89" spans="2:13" x14ac:dyDescent="0.2">
      <c r="B89" s="519"/>
      <c r="C89" s="527"/>
      <c r="D89" s="15"/>
      <c r="E89" s="520"/>
      <c r="F89" s="16"/>
      <c r="G89" s="25" t="str">
        <f t="shared" si="1"/>
        <v/>
      </c>
      <c r="H89" s="18"/>
      <c r="J89" s="80"/>
      <c r="K89" s="80"/>
      <c r="L89" s="80"/>
      <c r="M89" s="80"/>
    </row>
    <row r="90" spans="2:13" ht="25.5" x14ac:dyDescent="0.2">
      <c r="B90" s="519" t="s">
        <v>828</v>
      </c>
      <c r="C90" s="527" t="s">
        <v>829</v>
      </c>
      <c r="D90" s="15" t="s">
        <v>33</v>
      </c>
      <c r="E90" s="520">
        <v>2</v>
      </c>
      <c r="F90" s="16"/>
      <c r="G90" s="25">
        <f t="shared" si="1"/>
        <v>0</v>
      </c>
      <c r="H90" s="18"/>
      <c r="J90" s="80"/>
      <c r="K90" s="80"/>
      <c r="L90" s="80"/>
      <c r="M90" s="80"/>
    </row>
    <row r="91" spans="2:13" x14ac:dyDescent="0.2">
      <c r="B91" s="519"/>
      <c r="C91" s="527"/>
      <c r="D91" s="15"/>
      <c r="E91" s="520"/>
      <c r="F91" s="16"/>
      <c r="G91" s="25" t="str">
        <f t="shared" si="1"/>
        <v/>
      </c>
      <c r="H91" s="18"/>
      <c r="J91" s="80"/>
      <c r="K91" s="80"/>
      <c r="L91" s="80"/>
      <c r="M91" s="80"/>
    </row>
    <row r="92" spans="2:13" ht="25.5" x14ac:dyDescent="0.2">
      <c r="B92" s="519" t="s">
        <v>830</v>
      </c>
      <c r="C92" s="527" t="s">
        <v>831</v>
      </c>
      <c r="D92" s="15" t="s">
        <v>33</v>
      </c>
      <c r="E92" s="520">
        <v>2</v>
      </c>
      <c r="F92" s="16"/>
      <c r="G92" s="25">
        <f t="shared" si="1"/>
        <v>0</v>
      </c>
      <c r="H92" s="18"/>
      <c r="J92" s="80"/>
      <c r="K92" s="80"/>
      <c r="L92" s="80"/>
      <c r="M92" s="80"/>
    </row>
    <row r="93" spans="2:13" x14ac:dyDescent="0.2">
      <c r="B93" s="519"/>
      <c r="C93" s="527"/>
      <c r="D93" s="15"/>
      <c r="E93" s="520"/>
      <c r="F93" s="16"/>
      <c r="G93" s="25" t="str">
        <f t="shared" si="1"/>
        <v/>
      </c>
      <c r="H93" s="18"/>
      <c r="J93" s="80"/>
      <c r="K93" s="80"/>
      <c r="L93" s="80"/>
      <c r="M93" s="80"/>
    </row>
    <row r="94" spans="2:13" ht="25.5" x14ac:dyDescent="0.2">
      <c r="B94" s="519" t="s">
        <v>832</v>
      </c>
      <c r="C94" s="527" t="s">
        <v>833</v>
      </c>
      <c r="D94" s="15" t="s">
        <v>33</v>
      </c>
      <c r="E94" s="520">
        <v>2</v>
      </c>
      <c r="F94" s="16"/>
      <c r="G94" s="25">
        <f t="shared" si="1"/>
        <v>0</v>
      </c>
      <c r="H94" s="18"/>
      <c r="J94" s="80"/>
      <c r="K94" s="80"/>
      <c r="L94" s="80"/>
      <c r="M94" s="80"/>
    </row>
    <row r="95" spans="2:13" x14ac:dyDescent="0.2">
      <c r="B95" s="519"/>
      <c r="C95" s="527"/>
      <c r="D95" s="15"/>
      <c r="E95" s="520"/>
      <c r="F95" s="16"/>
      <c r="G95" s="25" t="str">
        <f t="shared" si="1"/>
        <v/>
      </c>
      <c r="H95" s="18"/>
      <c r="J95" s="80"/>
      <c r="K95" s="80"/>
      <c r="L95" s="80"/>
      <c r="M95" s="80"/>
    </row>
    <row r="96" spans="2:13" x14ac:dyDescent="0.2">
      <c r="B96" s="519" t="s">
        <v>834</v>
      </c>
      <c r="C96" s="527" t="s">
        <v>835</v>
      </c>
      <c r="D96" s="15"/>
      <c r="E96" s="520"/>
      <c r="F96" s="16"/>
      <c r="G96" s="25" t="str">
        <f t="shared" si="1"/>
        <v/>
      </c>
      <c r="H96" s="18"/>
      <c r="J96" s="80"/>
      <c r="K96" s="80"/>
      <c r="L96" s="80"/>
      <c r="M96" s="80"/>
    </row>
    <row r="97" spans="2:13" x14ac:dyDescent="0.2">
      <c r="B97" s="519"/>
      <c r="C97" s="527"/>
      <c r="D97" s="15"/>
      <c r="E97" s="520"/>
      <c r="F97" s="16"/>
      <c r="G97" s="25" t="str">
        <f t="shared" si="1"/>
        <v/>
      </c>
      <c r="H97" s="18"/>
      <c r="J97" s="80"/>
      <c r="K97" s="80"/>
      <c r="L97" s="80"/>
      <c r="M97" s="80"/>
    </row>
    <row r="98" spans="2:13" x14ac:dyDescent="0.2">
      <c r="B98" s="535" t="s">
        <v>836</v>
      </c>
      <c r="C98" s="538" t="s">
        <v>837</v>
      </c>
      <c r="D98" s="39" t="s">
        <v>33</v>
      </c>
      <c r="E98" s="4">
        <v>1</v>
      </c>
      <c r="F98" s="46"/>
      <c r="G98" s="25">
        <f t="shared" si="1"/>
        <v>0</v>
      </c>
    </row>
    <row r="99" spans="2:13" x14ac:dyDescent="0.2">
      <c r="B99" s="519"/>
      <c r="C99" s="527"/>
      <c r="D99" s="15"/>
      <c r="E99" s="520"/>
      <c r="F99" s="16"/>
      <c r="G99" s="25" t="str">
        <f t="shared" si="1"/>
        <v/>
      </c>
      <c r="H99" s="18"/>
      <c r="J99" s="41"/>
      <c r="K99" s="41"/>
      <c r="L99" s="41"/>
      <c r="M99" s="41"/>
    </row>
    <row r="100" spans="2:13" ht="25.5" x14ac:dyDescent="0.2">
      <c r="B100" s="519" t="s">
        <v>125</v>
      </c>
      <c r="C100" s="527" t="s">
        <v>124</v>
      </c>
      <c r="D100" s="15" t="s">
        <v>838</v>
      </c>
      <c r="E100" s="520">
        <v>1</v>
      </c>
      <c r="F100" s="16"/>
      <c r="G100" s="25">
        <f t="shared" si="1"/>
        <v>0</v>
      </c>
      <c r="H100" s="18"/>
      <c r="J100" s="41"/>
      <c r="K100" s="41"/>
      <c r="L100" s="41"/>
      <c r="M100" s="41"/>
    </row>
    <row r="101" spans="2:13" x14ac:dyDescent="0.2">
      <c r="B101" s="519"/>
      <c r="C101" s="527"/>
      <c r="D101" s="15"/>
      <c r="E101" s="520"/>
      <c r="F101" s="16"/>
      <c r="G101" s="25" t="str">
        <f t="shared" si="1"/>
        <v/>
      </c>
      <c r="H101" s="18"/>
      <c r="J101" s="41"/>
      <c r="K101" s="41"/>
      <c r="L101" s="41"/>
      <c r="M101" s="41"/>
    </row>
    <row r="102" spans="2:13" x14ac:dyDescent="0.2">
      <c r="B102" s="519" t="s">
        <v>839</v>
      </c>
      <c r="C102" s="527" t="s">
        <v>840</v>
      </c>
      <c r="D102" s="15" t="s">
        <v>181</v>
      </c>
      <c r="E102" s="520">
        <v>520</v>
      </c>
      <c r="F102" s="16"/>
      <c r="G102" s="25">
        <f t="shared" si="1"/>
        <v>0</v>
      </c>
      <c r="H102" s="18"/>
      <c r="J102" s="41"/>
      <c r="K102" s="41"/>
      <c r="L102" s="41"/>
      <c r="M102" s="41"/>
    </row>
    <row r="103" spans="2:13" x14ac:dyDescent="0.2">
      <c r="B103" s="519"/>
      <c r="C103" s="527"/>
      <c r="D103" s="15"/>
      <c r="E103" s="520"/>
      <c r="F103" s="16"/>
      <c r="G103" s="25" t="str">
        <f t="shared" si="1"/>
        <v/>
      </c>
      <c r="H103" s="18"/>
      <c r="J103" s="41"/>
      <c r="K103" s="41"/>
      <c r="L103" s="41"/>
      <c r="M103" s="41"/>
    </row>
    <row r="104" spans="2:13" ht="38.25" x14ac:dyDescent="0.2">
      <c r="B104" s="519" t="s">
        <v>841</v>
      </c>
      <c r="C104" s="527" t="s">
        <v>842</v>
      </c>
      <c r="D104" s="15" t="s">
        <v>181</v>
      </c>
      <c r="E104" s="520">
        <v>80</v>
      </c>
      <c r="F104" s="16"/>
      <c r="G104" s="25">
        <f t="shared" si="1"/>
        <v>0</v>
      </c>
      <c r="H104" s="18"/>
      <c r="J104" s="41"/>
      <c r="K104" s="41"/>
      <c r="L104" s="41"/>
      <c r="M104" s="41"/>
    </row>
    <row r="105" spans="2:13" x14ac:dyDescent="0.2">
      <c r="B105" s="519"/>
      <c r="C105" s="527"/>
      <c r="D105" s="15"/>
      <c r="E105" s="520"/>
      <c r="F105" s="16"/>
      <c r="G105" s="25" t="str">
        <f t="shared" si="1"/>
        <v/>
      </c>
      <c r="H105" s="18"/>
      <c r="J105" s="41"/>
      <c r="K105" s="41"/>
      <c r="L105" s="41"/>
      <c r="M105" s="41"/>
    </row>
    <row r="106" spans="2:13" s="30" customFormat="1" x14ac:dyDescent="0.2">
      <c r="B106" s="521" t="s">
        <v>843</v>
      </c>
      <c r="C106" s="516" t="s">
        <v>844</v>
      </c>
      <c r="D106" s="450"/>
      <c r="E106" s="522"/>
      <c r="F106" s="431"/>
      <c r="G106" s="432" t="str">
        <f t="shared" si="1"/>
        <v/>
      </c>
      <c r="H106" s="452"/>
      <c r="J106" s="447"/>
      <c r="K106" s="447"/>
      <c r="L106" s="447"/>
      <c r="M106" s="447"/>
    </row>
    <row r="107" spans="2:13" x14ac:dyDescent="0.2">
      <c r="B107" s="519"/>
      <c r="C107" s="527"/>
      <c r="D107" s="15"/>
      <c r="E107" s="520"/>
      <c r="F107" s="16"/>
      <c r="G107" s="25" t="str">
        <f t="shared" si="1"/>
        <v/>
      </c>
      <c r="H107" s="18"/>
      <c r="J107" s="41"/>
      <c r="K107" s="41"/>
      <c r="L107" s="41"/>
      <c r="M107" s="41"/>
    </row>
    <row r="108" spans="2:13" x14ac:dyDescent="0.2">
      <c r="B108" s="519" t="s">
        <v>845</v>
      </c>
      <c r="C108" s="527" t="s">
        <v>846</v>
      </c>
      <c r="D108" s="15" t="s">
        <v>6</v>
      </c>
      <c r="E108" s="520">
        <v>50</v>
      </c>
      <c r="F108" s="16"/>
      <c r="G108" s="25">
        <f t="shared" si="1"/>
        <v>0</v>
      </c>
      <c r="H108" s="18"/>
      <c r="J108" s="41"/>
      <c r="K108" s="41"/>
      <c r="L108" s="41"/>
      <c r="M108" s="41"/>
    </row>
    <row r="109" spans="2:13" x14ac:dyDescent="0.2">
      <c r="B109" s="524"/>
      <c r="C109" s="527"/>
      <c r="D109" s="15"/>
      <c r="E109" s="520"/>
      <c r="F109" s="16"/>
      <c r="G109" s="25" t="str">
        <f t="shared" si="1"/>
        <v/>
      </c>
      <c r="H109" s="18"/>
      <c r="J109" s="41"/>
      <c r="K109" s="41"/>
      <c r="L109" s="41"/>
      <c r="M109" s="41"/>
    </row>
    <row r="110" spans="2:13" x14ac:dyDescent="0.2">
      <c r="B110" s="524" t="s">
        <v>847</v>
      </c>
      <c r="C110" s="527" t="s">
        <v>848</v>
      </c>
      <c r="D110" s="15" t="s">
        <v>6</v>
      </c>
      <c r="E110" s="520">
        <v>50</v>
      </c>
      <c r="F110" s="16"/>
      <c r="G110" s="25">
        <f t="shared" si="1"/>
        <v>0</v>
      </c>
      <c r="H110" s="18"/>
      <c r="J110" s="41"/>
      <c r="K110" s="41"/>
      <c r="L110" s="41"/>
      <c r="M110" s="41"/>
    </row>
    <row r="111" spans="2:13" x14ac:dyDescent="0.2">
      <c r="B111" s="524"/>
      <c r="C111" s="527"/>
      <c r="D111" s="22"/>
      <c r="E111" s="520"/>
      <c r="F111" s="16"/>
      <c r="G111" s="25"/>
      <c r="H111" s="18"/>
      <c r="J111" s="41"/>
      <c r="K111" s="41"/>
      <c r="L111" s="41"/>
      <c r="M111" s="41"/>
    </row>
    <row r="112" spans="2:13" x14ac:dyDescent="0.2">
      <c r="B112" s="524" t="s">
        <v>577</v>
      </c>
      <c r="C112" s="527" t="s">
        <v>578</v>
      </c>
      <c r="D112" s="15" t="s">
        <v>33</v>
      </c>
      <c r="E112" s="541">
        <v>20</v>
      </c>
      <c r="F112" s="16"/>
      <c r="G112" s="25">
        <f t="shared" ref="G112:G128" si="2">IF(D112="","",E112*F112)</f>
        <v>0</v>
      </c>
      <c r="H112" s="63"/>
      <c r="J112" s="41"/>
      <c r="K112" s="46" t="str">
        <f t="shared" ref="K112:K122" si="3">IF(J112="","",J112*E112)</f>
        <v/>
      </c>
      <c r="L112" s="41"/>
      <c r="M112" s="41"/>
    </row>
    <row r="113" spans="2:13" x14ac:dyDescent="0.2">
      <c r="B113" s="519"/>
      <c r="C113" s="538"/>
      <c r="D113" s="61"/>
      <c r="E113" s="541"/>
      <c r="F113" s="16"/>
      <c r="G113" s="25" t="str">
        <f t="shared" si="2"/>
        <v/>
      </c>
      <c r="H113" s="63"/>
      <c r="J113" s="41"/>
      <c r="K113" s="46" t="str">
        <f t="shared" si="3"/>
        <v/>
      </c>
      <c r="L113" s="41"/>
      <c r="M113" s="41"/>
    </row>
    <row r="114" spans="2:13" ht="25.5" x14ac:dyDescent="0.2">
      <c r="B114" s="524" t="s">
        <v>579</v>
      </c>
      <c r="C114" s="527" t="s">
        <v>580</v>
      </c>
      <c r="D114" s="22" t="s">
        <v>6</v>
      </c>
      <c r="E114" s="541">
        <v>40</v>
      </c>
      <c r="F114" s="16"/>
      <c r="G114" s="25">
        <f t="shared" si="2"/>
        <v>0</v>
      </c>
      <c r="H114" s="18"/>
      <c r="J114" s="41"/>
      <c r="K114" s="46" t="str">
        <f t="shared" si="3"/>
        <v/>
      </c>
      <c r="L114" s="41"/>
      <c r="M114" s="41"/>
    </row>
    <row r="115" spans="2:13" x14ac:dyDescent="0.2">
      <c r="B115" s="519"/>
      <c r="C115" s="527"/>
      <c r="D115" s="15"/>
      <c r="E115" s="541"/>
      <c r="F115" s="16"/>
      <c r="G115" s="25" t="str">
        <f t="shared" si="2"/>
        <v/>
      </c>
      <c r="H115" s="18"/>
      <c r="J115" s="41"/>
      <c r="K115" s="46" t="str">
        <f t="shared" si="3"/>
        <v/>
      </c>
      <c r="L115" s="41"/>
      <c r="M115" s="41"/>
    </row>
    <row r="116" spans="2:13" x14ac:dyDescent="0.2">
      <c r="B116" s="519"/>
      <c r="C116" s="527"/>
      <c r="D116" s="22"/>
      <c r="E116" s="541"/>
      <c r="F116" s="16"/>
      <c r="G116" s="25" t="str">
        <f t="shared" si="2"/>
        <v/>
      </c>
      <c r="H116" s="58"/>
      <c r="J116" s="41">
        <f>_Excavation</f>
        <v>0</v>
      </c>
      <c r="K116" s="46">
        <f t="shared" si="3"/>
        <v>0</v>
      </c>
      <c r="L116" s="41"/>
      <c r="M116" s="41"/>
    </row>
    <row r="117" spans="2:13" x14ac:dyDescent="0.2">
      <c r="B117" s="524"/>
      <c r="C117" s="527"/>
      <c r="D117" s="15"/>
      <c r="E117" s="541"/>
      <c r="F117" s="16"/>
      <c r="G117" s="25" t="str">
        <f t="shared" si="2"/>
        <v/>
      </c>
      <c r="H117" s="18"/>
      <c r="J117" s="41"/>
      <c r="K117" s="46" t="str">
        <f t="shared" si="3"/>
        <v/>
      </c>
      <c r="L117" s="41"/>
      <c r="M117" s="41"/>
    </row>
    <row r="118" spans="2:13" x14ac:dyDescent="0.2">
      <c r="B118" s="519"/>
      <c r="C118" s="527"/>
      <c r="D118" s="22"/>
      <c r="E118" s="541"/>
      <c r="F118" s="16"/>
      <c r="G118" s="25" t="str">
        <f t="shared" si="2"/>
        <v/>
      </c>
      <c r="H118" s="18"/>
      <c r="J118" s="41">
        <f>_Excavation</f>
        <v>0</v>
      </c>
      <c r="K118" s="46">
        <f t="shared" si="3"/>
        <v>0</v>
      </c>
      <c r="L118" s="41"/>
      <c r="M118" s="41"/>
    </row>
    <row r="119" spans="2:13" x14ac:dyDescent="0.2">
      <c r="B119" s="519"/>
      <c r="C119" s="527"/>
      <c r="D119" s="15"/>
      <c r="E119" s="541"/>
      <c r="F119" s="16"/>
      <c r="G119" s="25" t="str">
        <f t="shared" si="2"/>
        <v/>
      </c>
      <c r="H119" s="18"/>
      <c r="J119" s="41"/>
      <c r="K119" s="46" t="str">
        <f t="shared" si="3"/>
        <v/>
      </c>
      <c r="L119" s="41"/>
      <c r="M119" s="41"/>
    </row>
    <row r="120" spans="2:13" x14ac:dyDescent="0.2">
      <c r="B120" s="519"/>
      <c r="C120" s="527"/>
      <c r="D120" s="15"/>
      <c r="E120" s="541"/>
      <c r="F120" s="16"/>
      <c r="G120" s="25" t="str">
        <f t="shared" si="2"/>
        <v/>
      </c>
      <c r="H120" s="18"/>
      <c r="J120" s="41"/>
      <c r="K120" s="46" t="str">
        <f t="shared" si="3"/>
        <v/>
      </c>
      <c r="L120" s="41"/>
      <c r="M120" s="41"/>
    </row>
    <row r="121" spans="2:13" x14ac:dyDescent="0.2">
      <c r="B121" s="519"/>
      <c r="C121" s="527"/>
      <c r="D121" s="15"/>
      <c r="E121" s="541"/>
      <c r="F121" s="16"/>
      <c r="G121" s="25" t="str">
        <f t="shared" si="2"/>
        <v/>
      </c>
      <c r="H121" s="18"/>
      <c r="J121" s="41"/>
      <c r="K121" s="46" t="str">
        <f t="shared" si="3"/>
        <v/>
      </c>
      <c r="L121" s="41"/>
      <c r="M121" s="41"/>
    </row>
    <row r="122" spans="2:13" x14ac:dyDescent="0.2">
      <c r="B122" s="524"/>
      <c r="C122" s="527"/>
      <c r="D122" s="22"/>
      <c r="E122" s="541"/>
      <c r="F122" s="16"/>
      <c r="G122" s="25" t="str">
        <f t="shared" si="2"/>
        <v/>
      </c>
      <c r="H122" s="58"/>
      <c r="J122" s="41"/>
      <c r="K122" s="46" t="str">
        <f t="shared" si="3"/>
        <v/>
      </c>
      <c r="L122" s="41"/>
      <c r="M122" s="41"/>
    </row>
    <row r="123" spans="2:13" x14ac:dyDescent="0.2">
      <c r="B123" s="519"/>
      <c r="C123" s="527"/>
      <c r="D123" s="15"/>
      <c r="E123" s="520"/>
      <c r="F123" s="16"/>
      <c r="G123" s="25" t="str">
        <f t="shared" si="2"/>
        <v/>
      </c>
      <c r="J123" s="41"/>
      <c r="K123" s="46" t="str">
        <f t="shared" ref="K123:K129" si="4">IF(J123="","",J123*E123)</f>
        <v/>
      </c>
      <c r="L123" s="41"/>
      <c r="M123" s="41"/>
    </row>
    <row r="124" spans="2:13" x14ac:dyDescent="0.2">
      <c r="B124" s="519"/>
      <c r="C124" s="527"/>
      <c r="D124" s="15"/>
      <c r="E124" s="520"/>
      <c r="F124" s="16"/>
      <c r="G124" s="25" t="str">
        <f t="shared" si="2"/>
        <v/>
      </c>
      <c r="J124" s="41"/>
      <c r="K124" s="46" t="str">
        <f t="shared" si="4"/>
        <v/>
      </c>
      <c r="L124" s="41"/>
      <c r="M124" s="41"/>
    </row>
    <row r="125" spans="2:13" x14ac:dyDescent="0.2">
      <c r="B125" s="519"/>
      <c r="C125" s="527"/>
      <c r="D125" s="22"/>
      <c r="E125" s="520"/>
      <c r="F125" s="16"/>
      <c r="G125" s="25" t="str">
        <f t="shared" si="2"/>
        <v/>
      </c>
      <c r="J125" s="41">
        <f>_Backfill</f>
        <v>0</v>
      </c>
      <c r="K125" s="46">
        <f t="shared" si="4"/>
        <v>0</v>
      </c>
      <c r="L125" s="41"/>
      <c r="M125" s="41"/>
    </row>
    <row r="126" spans="2:13" x14ac:dyDescent="0.2">
      <c r="B126" s="519"/>
      <c r="C126" s="538"/>
      <c r="D126" s="61"/>
      <c r="E126" s="542"/>
      <c r="F126" s="16"/>
      <c r="G126" s="25" t="str">
        <f t="shared" si="2"/>
        <v/>
      </c>
      <c r="J126" s="41"/>
      <c r="K126" s="46" t="str">
        <f t="shared" si="4"/>
        <v/>
      </c>
      <c r="L126" s="41"/>
      <c r="M126" s="41"/>
    </row>
    <row r="127" spans="2:13" x14ac:dyDescent="0.2">
      <c r="B127" s="519"/>
      <c r="C127" s="539"/>
      <c r="D127" s="22"/>
      <c r="E127" s="520"/>
      <c r="F127" s="16"/>
      <c r="G127" s="25" t="str">
        <f t="shared" si="2"/>
        <v/>
      </c>
      <c r="J127" s="41">
        <f>_Backfill</f>
        <v>0</v>
      </c>
      <c r="K127" s="46">
        <f t="shared" si="4"/>
        <v>0</v>
      </c>
      <c r="L127" s="41"/>
      <c r="M127" s="41"/>
    </row>
    <row r="128" spans="2:13" x14ac:dyDescent="0.2">
      <c r="B128" s="519"/>
      <c r="C128" s="540"/>
      <c r="D128" s="534"/>
      <c r="E128" s="541"/>
      <c r="F128" s="536"/>
      <c r="G128" s="25" t="str">
        <f t="shared" si="2"/>
        <v/>
      </c>
      <c r="J128" s="41"/>
      <c r="K128" s="46" t="str">
        <f t="shared" si="4"/>
        <v/>
      </c>
      <c r="L128" s="41"/>
      <c r="M128" s="41"/>
    </row>
    <row r="129" spans="2:13" s="30" customFormat="1" ht="19.5" customHeight="1" x14ac:dyDescent="0.2">
      <c r="B129" s="121" t="str">
        <f>$B$11</f>
        <v>C3.1</v>
      </c>
      <c r="C129" s="32" t="str">
        <f>"TOTAL CARRIED FORWARD"&amp;IF(G129=G$1," TO SUMMARY (Page C"&amp;Page_A&amp;")","")</f>
        <v>TOTAL CARRIED FORWARD TO SUMMARY (Page C49)</v>
      </c>
      <c r="D129" s="33"/>
      <c r="E129" s="34"/>
      <c r="F129" s="33"/>
      <c r="G129" s="352">
        <f>SUM(G74:G128)</f>
        <v>0</v>
      </c>
      <c r="H129" s="36"/>
      <c r="J129" s="41"/>
      <c r="K129" s="46" t="str">
        <f t="shared" si="4"/>
        <v/>
      </c>
      <c r="L129" s="41"/>
      <c r="M129" s="41"/>
    </row>
  </sheetData>
  <mergeCells count="11">
    <mergeCell ref="B69:F69"/>
    <mergeCell ref="G69:G72"/>
    <mergeCell ref="B70:F72"/>
    <mergeCell ref="E2:G2"/>
    <mergeCell ref="B6:F8"/>
    <mergeCell ref="G5:G8"/>
    <mergeCell ref="B5:F5"/>
    <mergeCell ref="B66:D66"/>
    <mergeCell ref="E66:G68"/>
    <mergeCell ref="B67:D67"/>
    <mergeCell ref="B68:D68"/>
  </mergeCells>
  <pageMargins left="0.62992125984251968" right="0.43307086614173229" top="0.62992125984251968" bottom="0.55118110236220474" header="0.51181102362204722" footer="0.31496062992125984"/>
  <pageSetup paperSize="9" scale="77"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5" id="{8BEF69E9-E3BD-49B4-B1E2-0548FDEADB46}">
            <xm:f>AND(Information!$C$8=FALSE,$D10&lt;&gt;"P C Sum",$D10&lt;&gt;"PC Sum",$D10&lt;&gt;"P Sum",$D10&lt;&gt;"Prov Sum")</xm:f>
            <x14:dxf>
              <font>
                <strike val="0"/>
                <color theme="0"/>
              </font>
              <numFmt numFmtId="4" formatCode="#,##0.00"/>
            </x14:dxf>
          </x14:cfRule>
          <xm:sqref>G129 F10:G15 F16:F19 F111:G128 F22:G64 F75:F97 F99:F110 G75:G110</xm:sqref>
        </x14:conditionalFormatting>
        <x14:conditionalFormatting xmlns:xm="http://schemas.microsoft.com/office/excel/2006/main">
          <x14:cfRule type="expression" priority="3" id="{15D412AD-ADCB-424B-9A46-A2746580BCBC}">
            <xm:f>AND(Information!$C$8=FALSE,$D16&lt;&gt;"P C Sum",$D16&lt;&gt;"PC Sum",$D16&lt;&gt;"P Sum",$D16&lt;&gt;"Prov Sum")</xm:f>
            <x14:dxf>
              <font>
                <strike val="0"/>
                <color theme="0"/>
              </font>
              <numFmt numFmtId="4" formatCode="#,##0.00"/>
            </x14:dxf>
          </x14:cfRule>
          <xm:sqref>F20:F21 G16:G21</xm:sqref>
        </x14:conditionalFormatting>
        <x14:conditionalFormatting xmlns:xm="http://schemas.microsoft.com/office/excel/2006/main">
          <x14:cfRule type="expression" priority="2" id="{AB865E70-48BA-400D-8595-5CAA5769C6F0}">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1" id="{C04708FC-B91F-4819-8C38-CD6BF3ABED17}">
            <xm:f>AND(Information!$C$8=FALSE,$D74&lt;&gt;"P C Sum",$D74&lt;&gt;"PC Sum",$D74&lt;&gt;"P Sum",$D74&lt;&gt;"Prov Sum")</xm:f>
            <x14:dxf>
              <font>
                <strike val="0"/>
                <color theme="0"/>
              </font>
              <numFmt numFmtId="4" formatCode="#,##0.00"/>
            </x14:dxf>
          </x14:cfRule>
          <xm:sqref>G74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2327-DE41-4821-867D-8A0C3C81D05C}">
  <sheetPr>
    <tabColor rgb="FF00B050"/>
  </sheetPr>
  <dimension ref="A1:O102"/>
  <sheetViews>
    <sheetView view="pageBreakPreview" topLeftCell="A84" zoomScale="88" zoomScaleNormal="100" zoomScaleSheetLayoutView="88" workbookViewId="0">
      <selection activeCell="F66" sqref="F66:F99"/>
    </sheetView>
  </sheetViews>
  <sheetFormatPr defaultColWidth="6.85546875" defaultRowHeight="12.75" x14ac:dyDescent="0.2"/>
  <cols>
    <col min="1" max="1" width="0.85546875" style="38" customWidth="1"/>
    <col min="2" max="2" width="11.5703125" style="38" customWidth="1"/>
    <col min="3" max="3" width="45.5703125" style="38" customWidth="1"/>
    <col min="4" max="4" width="13.5703125" style="38" customWidth="1"/>
    <col min="5" max="7" width="15.5703125" style="38" customWidth="1"/>
    <col min="8" max="8" width="0.85546875" style="38" customWidth="1"/>
    <col min="9" max="9" width="6.85546875" style="38"/>
    <col min="10" max="10" width="7.42578125" style="38" bestFit="1" customWidth="1"/>
    <col min="11" max="11" width="11.7109375" style="38" bestFit="1" customWidth="1"/>
    <col min="12" max="16384" width="6.85546875" style="38"/>
  </cols>
  <sheetData>
    <row r="1" spans="1:13" x14ac:dyDescent="0.2">
      <c r="G1" s="166">
        <f>MAX(G9:G471)</f>
        <v>0</v>
      </c>
    </row>
    <row r="2" spans="1:13" x14ac:dyDescent="0.2">
      <c r="A2" s="1"/>
      <c r="B2" s="2" t="str">
        <f>Client1</f>
        <v>Province of KwaZulu-Natal</v>
      </c>
      <c r="C2" s="3"/>
      <c r="D2" s="4"/>
      <c r="E2" s="703" t="str">
        <f>"Contract No. "&amp;ContractNo</f>
        <v>Contract No. ZNB02287/00000/00/MET/INF/24/T</v>
      </c>
      <c r="F2" s="703"/>
      <c r="G2" s="703"/>
      <c r="H2" s="5"/>
      <c r="I2" s="1"/>
      <c r="J2" s="340"/>
      <c r="K2" s="340" t="e">
        <f>MAX(K3:K216)</f>
        <v>#NAME?</v>
      </c>
      <c r="L2" s="293"/>
      <c r="M2" s="294"/>
    </row>
    <row r="3" spans="1:13" x14ac:dyDescent="0.2">
      <c r="A3" s="1"/>
      <c r="B3" s="81" t="str">
        <f>Client2</f>
        <v>Department of Transport</v>
      </c>
      <c r="C3" s="3"/>
      <c r="D3" s="4"/>
      <c r="E3" s="4"/>
      <c r="F3" s="1"/>
      <c r="G3" s="5"/>
      <c r="H3" s="5"/>
      <c r="I3" s="1"/>
      <c r="J3" s="38" t="s">
        <v>470</v>
      </c>
      <c r="K3" s="38" t="s">
        <v>471</v>
      </c>
      <c r="L3" s="1" t="s">
        <v>472</v>
      </c>
      <c r="M3" s="1" t="s">
        <v>473</v>
      </c>
    </row>
    <row r="4" spans="1:13" x14ac:dyDescent="0.2">
      <c r="A4" s="1"/>
      <c r="B4" s="71"/>
      <c r="C4" s="71"/>
      <c r="D4" s="72"/>
      <c r="E4" s="72"/>
      <c r="F4" s="73"/>
      <c r="G4" s="82"/>
      <c r="H4" s="5"/>
      <c r="I4" s="1"/>
      <c r="J4" s="341"/>
      <c r="K4" s="341"/>
      <c r="L4" s="73"/>
      <c r="M4" s="73"/>
    </row>
    <row r="5" spans="1:13" x14ac:dyDescent="0.2">
      <c r="A5" s="1"/>
      <c r="B5" s="698" t="s">
        <v>8</v>
      </c>
      <c r="C5" s="699"/>
      <c r="D5" s="699"/>
      <c r="E5" s="699"/>
      <c r="F5" s="699"/>
      <c r="G5" s="695" t="str">
        <f>"CHAPTER "&amp;B10</f>
        <v>CHAPTER C3.2</v>
      </c>
      <c r="H5" s="6"/>
      <c r="I5" s="1"/>
      <c r="L5" s="1"/>
      <c r="M5" s="1"/>
    </row>
    <row r="6" spans="1:13" ht="7.5" customHeight="1" x14ac:dyDescent="0.2">
      <c r="A6" s="1"/>
      <c r="B6" s="691" t="str">
        <f>ContractDescription</f>
        <v>PROVISION OF ROUTINE AND SAFETY MAINTENANCE ON MIAN ROAD P3/1 (KM 69.00 TO KM 77.96), P3/2 (KM 0.00 TO KM 11.50), P21/2(KM 0.00 TO KM 29.83 IN THE ETHEKWINI METRO - DURBAN REGION</v>
      </c>
      <c r="C6" s="692"/>
      <c r="D6" s="692"/>
      <c r="E6" s="692"/>
      <c r="F6" s="692"/>
      <c r="G6" s="696"/>
      <c r="H6" s="8"/>
      <c r="I6" s="1"/>
      <c r="L6" s="1"/>
      <c r="M6" s="1"/>
    </row>
    <row r="7" spans="1:13" ht="12.75" customHeight="1" x14ac:dyDescent="0.2">
      <c r="A7" s="1"/>
      <c r="B7" s="691"/>
      <c r="C7" s="692"/>
      <c r="D7" s="692"/>
      <c r="E7" s="692"/>
      <c r="F7" s="692"/>
      <c r="G7" s="696"/>
      <c r="H7" s="8"/>
      <c r="I7" s="1"/>
      <c r="L7" s="1"/>
      <c r="M7" s="1"/>
    </row>
    <row r="8" spans="1:13" ht="7.5" customHeight="1" x14ac:dyDescent="0.2">
      <c r="A8" s="1"/>
      <c r="B8" s="693"/>
      <c r="C8" s="694"/>
      <c r="D8" s="694"/>
      <c r="E8" s="694"/>
      <c r="F8" s="694"/>
      <c r="G8" s="697"/>
      <c r="H8" s="8"/>
      <c r="I8" s="1"/>
      <c r="L8" s="1"/>
      <c r="M8" s="1"/>
    </row>
    <row r="9" spans="1:13" ht="24.95" customHeight="1" x14ac:dyDescent="0.2">
      <c r="A9" s="9"/>
      <c r="B9" s="10" t="s">
        <v>0</v>
      </c>
      <c r="C9" s="11" t="s">
        <v>1</v>
      </c>
      <c r="D9" s="11" t="s">
        <v>2</v>
      </c>
      <c r="E9" s="11" t="s">
        <v>3</v>
      </c>
      <c r="F9" s="11" t="s">
        <v>4</v>
      </c>
      <c r="G9" s="11" t="s">
        <v>5</v>
      </c>
      <c r="H9" s="12"/>
      <c r="I9" s="9"/>
      <c r="J9" s="342"/>
      <c r="K9" s="342"/>
      <c r="L9" s="11"/>
      <c r="M9" s="11"/>
    </row>
    <row r="10" spans="1:13" x14ac:dyDescent="0.2">
      <c r="A10" s="1"/>
      <c r="B10" s="67" t="s">
        <v>166</v>
      </c>
      <c r="C10" s="20" t="s">
        <v>165</v>
      </c>
      <c r="D10" s="15"/>
      <c r="E10" s="15"/>
      <c r="F10" s="16"/>
      <c r="G10" s="25" t="str">
        <f t="shared" ref="G10:G54" si="0">IF(D10="","",E10*F10)</f>
        <v/>
      </c>
      <c r="H10" s="18"/>
      <c r="I10" s="1"/>
      <c r="J10" s="16"/>
      <c r="K10" s="16"/>
      <c r="L10" s="41"/>
      <c r="M10" s="41"/>
    </row>
    <row r="11" spans="1:13" ht="8.1" customHeight="1" x14ac:dyDescent="0.2">
      <c r="A11" s="1"/>
      <c r="B11" s="51"/>
      <c r="C11" s="14"/>
      <c r="D11" s="15"/>
      <c r="E11" s="15"/>
      <c r="F11" s="16"/>
      <c r="G11" s="25" t="str">
        <f t="shared" si="0"/>
        <v/>
      </c>
      <c r="H11" s="18"/>
      <c r="I11" s="1"/>
      <c r="J11" s="16"/>
      <c r="K11" s="16"/>
      <c r="L11" s="41"/>
      <c r="M11" s="41"/>
    </row>
    <row r="12" spans="1:13" s="343" customFormat="1" x14ac:dyDescent="0.2">
      <c r="A12" s="30"/>
      <c r="B12" s="67" t="s">
        <v>164</v>
      </c>
      <c r="C12" s="20" t="s">
        <v>163</v>
      </c>
      <c r="D12" s="450"/>
      <c r="E12" s="450"/>
      <c r="F12" s="431"/>
      <c r="G12" s="432" t="str">
        <f t="shared" si="0"/>
        <v/>
      </c>
      <c r="H12" s="452"/>
      <c r="I12" s="30"/>
      <c r="J12" s="453"/>
      <c r="K12" s="454" t="str">
        <f t="shared" ref="K12:K100" si="1">IF(J12="","",J12*E12)</f>
        <v/>
      </c>
      <c r="L12" s="455"/>
      <c r="M12" s="455"/>
    </row>
    <row r="13" spans="1:13" x14ac:dyDescent="0.2">
      <c r="A13" s="1"/>
      <c r="B13" s="51"/>
      <c r="C13" s="14"/>
      <c r="D13" s="15"/>
      <c r="E13" s="15"/>
      <c r="F13" s="16"/>
      <c r="G13" s="25" t="str">
        <f t="shared" si="0"/>
        <v/>
      </c>
      <c r="H13" s="18"/>
      <c r="I13" s="1"/>
      <c r="J13" s="16"/>
      <c r="K13" s="62" t="str">
        <f t="shared" si="1"/>
        <v/>
      </c>
      <c r="L13" s="41"/>
      <c r="M13" s="41"/>
    </row>
    <row r="14" spans="1:13" ht="25.5" x14ac:dyDescent="0.2">
      <c r="A14" s="1"/>
      <c r="B14" s="51" t="s">
        <v>162</v>
      </c>
      <c r="C14" s="14" t="s">
        <v>161</v>
      </c>
      <c r="D14" s="22"/>
      <c r="E14" s="23"/>
      <c r="F14" s="16"/>
      <c r="G14" s="25" t="str">
        <f t="shared" si="0"/>
        <v/>
      </c>
      <c r="H14" s="58"/>
      <c r="I14" s="1"/>
      <c r="J14" s="16"/>
      <c r="K14" s="62" t="str">
        <f t="shared" si="1"/>
        <v/>
      </c>
      <c r="L14" s="41"/>
      <c r="M14" s="41"/>
    </row>
    <row r="15" spans="1:13" x14ac:dyDescent="0.2">
      <c r="A15" s="1"/>
      <c r="B15" s="51"/>
      <c r="C15" s="14"/>
      <c r="D15" s="15"/>
      <c r="E15" s="26"/>
      <c r="F15" s="16"/>
      <c r="G15" s="25" t="str">
        <f t="shared" si="0"/>
        <v/>
      </c>
      <c r="H15" s="18"/>
      <c r="I15" s="1"/>
      <c r="J15" s="16"/>
      <c r="K15" s="62" t="str">
        <f t="shared" si="1"/>
        <v/>
      </c>
      <c r="L15" s="41"/>
      <c r="M15" s="41"/>
    </row>
    <row r="16" spans="1:13" ht="14.25" x14ac:dyDescent="0.2">
      <c r="A16" s="1"/>
      <c r="B16" s="51" t="s">
        <v>34</v>
      </c>
      <c r="C16" s="14" t="s">
        <v>127</v>
      </c>
      <c r="D16" s="22" t="s">
        <v>23</v>
      </c>
      <c r="E16" s="26">
        <v>24</v>
      </c>
      <c r="F16" s="16"/>
      <c r="G16" s="25">
        <f t="shared" si="0"/>
        <v>0</v>
      </c>
      <c r="H16" s="18"/>
      <c r="I16" s="1"/>
      <c r="J16" s="338">
        <f>F16*3%</f>
        <v>0</v>
      </c>
      <c r="K16" s="62">
        <f t="shared" si="1"/>
        <v>0</v>
      </c>
      <c r="L16" s="41"/>
      <c r="M16" s="41"/>
    </row>
    <row r="17" spans="1:13" x14ac:dyDescent="0.2">
      <c r="A17" s="1"/>
      <c r="B17" s="51"/>
      <c r="C17" s="14"/>
      <c r="D17" s="15"/>
      <c r="E17" s="26" t="s">
        <v>666</v>
      </c>
      <c r="F17" s="16"/>
      <c r="G17" s="25" t="str">
        <f t="shared" si="0"/>
        <v/>
      </c>
      <c r="H17" s="60"/>
      <c r="I17" s="1"/>
      <c r="J17" s="16"/>
      <c r="K17" s="62" t="str">
        <f t="shared" si="1"/>
        <v/>
      </c>
      <c r="L17" s="41"/>
      <c r="M17" s="41"/>
    </row>
    <row r="18" spans="1:13" ht="14.25" x14ac:dyDescent="0.2">
      <c r="A18" s="1"/>
      <c r="B18" s="51" t="s">
        <v>35</v>
      </c>
      <c r="C18" s="28" t="s">
        <v>126</v>
      </c>
      <c r="D18" s="22" t="s">
        <v>23</v>
      </c>
      <c r="E18" s="26">
        <v>29</v>
      </c>
      <c r="F18" s="16"/>
      <c r="G18" s="25">
        <f t="shared" si="0"/>
        <v>0</v>
      </c>
      <c r="H18" s="63"/>
      <c r="I18" s="1"/>
      <c r="J18" s="338">
        <f>F18*3%</f>
        <v>0</v>
      </c>
      <c r="K18" s="62">
        <f t="shared" si="1"/>
        <v>0</v>
      </c>
      <c r="L18" s="41"/>
      <c r="M18" s="41"/>
    </row>
    <row r="19" spans="1:13" x14ac:dyDescent="0.2">
      <c r="A19" s="1"/>
      <c r="B19" s="51"/>
      <c r="C19" s="27"/>
      <c r="D19" s="61"/>
      <c r="E19" s="26" t="s">
        <v>666</v>
      </c>
      <c r="F19" s="16"/>
      <c r="G19" s="25" t="str">
        <f t="shared" si="0"/>
        <v/>
      </c>
      <c r="H19" s="63"/>
      <c r="I19" s="1"/>
      <c r="J19" s="16"/>
      <c r="K19" s="62" t="str">
        <f t="shared" si="1"/>
        <v/>
      </c>
      <c r="L19" s="41"/>
      <c r="M19" s="41"/>
    </row>
    <row r="20" spans="1:13" ht="51" hidden="1" x14ac:dyDescent="0.2">
      <c r="A20" s="1"/>
      <c r="B20" s="51" t="s">
        <v>160</v>
      </c>
      <c r="C20" s="28" t="s">
        <v>159</v>
      </c>
      <c r="D20" s="22" t="s">
        <v>23</v>
      </c>
      <c r="E20" s="26">
        <v>0</v>
      </c>
      <c r="F20" s="16"/>
      <c r="G20" s="25">
        <f t="shared" si="0"/>
        <v>0</v>
      </c>
      <c r="H20" s="63"/>
      <c r="I20" s="1"/>
      <c r="J20" s="338">
        <f>_Excavation</f>
        <v>0</v>
      </c>
      <c r="K20" s="62">
        <f>IF(J20="","",J20*E20)</f>
        <v>0</v>
      </c>
      <c r="L20" s="41"/>
      <c r="M20" s="41"/>
    </row>
    <row r="21" spans="1:13" hidden="1" x14ac:dyDescent="0.2">
      <c r="A21" s="1"/>
      <c r="B21" s="51"/>
      <c r="C21" s="14"/>
      <c r="D21" s="15"/>
      <c r="E21" s="26" t="s">
        <v>666</v>
      </c>
      <c r="F21" s="16"/>
      <c r="G21" s="25" t="str">
        <f t="shared" si="0"/>
        <v/>
      </c>
      <c r="H21" s="18"/>
      <c r="I21" s="1"/>
      <c r="J21" s="16"/>
      <c r="K21" s="62" t="str">
        <f t="shared" si="1"/>
        <v/>
      </c>
      <c r="L21" s="41"/>
      <c r="M21" s="41"/>
    </row>
    <row r="22" spans="1:13" ht="25.5" hidden="1" x14ac:dyDescent="0.2">
      <c r="A22" s="1"/>
      <c r="B22" s="51" t="s">
        <v>158</v>
      </c>
      <c r="C22" s="14" t="s">
        <v>396</v>
      </c>
      <c r="D22" s="22" t="s">
        <v>23</v>
      </c>
      <c r="E22" s="26">
        <v>0</v>
      </c>
      <c r="F22" s="16"/>
      <c r="G22" s="25">
        <f t="shared" si="0"/>
        <v>0</v>
      </c>
      <c r="H22" s="58"/>
      <c r="I22" s="1"/>
      <c r="J22" s="338">
        <f>_Excavation*2</f>
        <v>0</v>
      </c>
      <c r="K22" s="62">
        <f t="shared" si="1"/>
        <v>0</v>
      </c>
      <c r="L22" s="41"/>
      <c r="M22" s="41"/>
    </row>
    <row r="23" spans="1:13" hidden="1" x14ac:dyDescent="0.2">
      <c r="A23" s="1"/>
      <c r="B23" s="51"/>
      <c r="C23" s="14"/>
      <c r="D23" s="15"/>
      <c r="E23" s="26" t="s">
        <v>666</v>
      </c>
      <c r="F23" s="16"/>
      <c r="G23" s="25" t="str">
        <f t="shared" si="0"/>
        <v/>
      </c>
      <c r="H23" s="18"/>
      <c r="I23" s="1"/>
      <c r="J23" s="16"/>
      <c r="K23" s="62" t="str">
        <f t="shared" si="1"/>
        <v/>
      </c>
      <c r="L23" s="41"/>
      <c r="M23" s="41"/>
    </row>
    <row r="24" spans="1:13" s="343" customFormat="1" x14ac:dyDescent="0.2">
      <c r="A24" s="30"/>
      <c r="B24" s="67" t="s">
        <v>157</v>
      </c>
      <c r="C24" s="20" t="s">
        <v>156</v>
      </c>
      <c r="D24" s="450"/>
      <c r="E24" s="451" t="s">
        <v>666</v>
      </c>
      <c r="F24" s="431"/>
      <c r="G24" s="432" t="str">
        <f t="shared" si="0"/>
        <v/>
      </c>
      <c r="H24" s="452"/>
      <c r="I24" s="30"/>
      <c r="J24" s="431"/>
      <c r="K24" s="454" t="str">
        <f t="shared" si="1"/>
        <v/>
      </c>
      <c r="L24" s="447"/>
      <c r="M24" s="447"/>
    </row>
    <row r="25" spans="1:13" x14ac:dyDescent="0.2">
      <c r="A25" s="1"/>
      <c r="B25" s="51"/>
      <c r="C25" s="14"/>
      <c r="D25" s="15"/>
      <c r="E25" s="26" t="s">
        <v>666</v>
      </c>
      <c r="F25" s="16"/>
      <c r="G25" s="25" t="str">
        <f t="shared" si="0"/>
        <v/>
      </c>
      <c r="H25" s="18"/>
      <c r="I25" s="1"/>
      <c r="J25" s="16"/>
      <c r="K25" s="62" t="str">
        <f t="shared" si="1"/>
        <v/>
      </c>
      <c r="L25" s="41"/>
      <c r="M25" s="41"/>
    </row>
    <row r="26" spans="1:13" ht="14.25" x14ac:dyDescent="0.2">
      <c r="A26" s="1"/>
      <c r="B26" s="51" t="s">
        <v>155</v>
      </c>
      <c r="C26" s="14" t="s">
        <v>154</v>
      </c>
      <c r="D26" s="22" t="s">
        <v>23</v>
      </c>
      <c r="E26" s="26">
        <v>10</v>
      </c>
      <c r="F26" s="16"/>
      <c r="G26" s="25">
        <f t="shared" si="0"/>
        <v>0</v>
      </c>
      <c r="H26" s="58"/>
      <c r="I26" s="1"/>
      <c r="J26" s="16">
        <f>_Backfill</f>
        <v>0</v>
      </c>
      <c r="K26" s="62">
        <f t="shared" si="1"/>
        <v>0</v>
      </c>
      <c r="L26" s="41"/>
      <c r="M26" s="41"/>
    </row>
    <row r="27" spans="1:13" x14ac:dyDescent="0.2">
      <c r="A27" s="1"/>
      <c r="B27" s="51"/>
      <c r="C27" s="14"/>
      <c r="D27" s="15"/>
      <c r="E27" s="26" t="s">
        <v>666</v>
      </c>
      <c r="F27" s="16"/>
      <c r="G27" s="25" t="str">
        <f t="shared" si="0"/>
        <v/>
      </c>
      <c r="H27" s="18"/>
      <c r="I27" s="1"/>
      <c r="J27" s="16"/>
      <c r="K27" s="62" t="str">
        <f t="shared" si="1"/>
        <v/>
      </c>
      <c r="L27" s="41"/>
      <c r="M27" s="41"/>
    </row>
    <row r="28" spans="1:13" x14ac:dyDescent="0.2">
      <c r="A28" s="1"/>
      <c r="B28" s="51" t="s">
        <v>153</v>
      </c>
      <c r="C28" s="64" t="s">
        <v>152</v>
      </c>
      <c r="D28" s="65"/>
      <c r="E28" s="26" t="s">
        <v>666</v>
      </c>
      <c r="F28" s="16"/>
      <c r="G28" s="25" t="str">
        <f t="shared" si="0"/>
        <v/>
      </c>
      <c r="H28" s="18"/>
      <c r="I28" s="1"/>
      <c r="J28" s="16"/>
      <c r="K28" s="62" t="str">
        <f t="shared" si="1"/>
        <v/>
      </c>
      <c r="L28" s="41"/>
      <c r="M28" s="41"/>
    </row>
    <row r="29" spans="1:13" x14ac:dyDescent="0.2">
      <c r="A29" s="1"/>
      <c r="B29" s="51"/>
      <c r="C29" s="64"/>
      <c r="D29" s="65"/>
      <c r="E29" s="26" t="s">
        <v>666</v>
      </c>
      <c r="F29" s="16"/>
      <c r="G29" s="25"/>
      <c r="H29" s="18"/>
      <c r="I29" s="1"/>
      <c r="J29" s="16"/>
      <c r="K29" s="62" t="str">
        <f t="shared" si="1"/>
        <v/>
      </c>
      <c r="L29" s="41"/>
      <c r="M29" s="41"/>
    </row>
    <row r="30" spans="1:13" ht="14.25" x14ac:dyDescent="0.2">
      <c r="A30" s="1"/>
      <c r="B30" s="51" t="s">
        <v>34</v>
      </c>
      <c r="C30" s="14" t="s">
        <v>397</v>
      </c>
      <c r="D30" s="22" t="s">
        <v>23</v>
      </c>
      <c r="E30" s="15">
        <v>30</v>
      </c>
      <c r="F30" s="16"/>
      <c r="G30" s="25">
        <f t="shared" si="0"/>
        <v>0</v>
      </c>
      <c r="H30" s="18"/>
      <c r="I30" s="1"/>
      <c r="J30" s="16">
        <f>_Backfill</f>
        <v>0</v>
      </c>
      <c r="K30" s="62">
        <f t="shared" si="1"/>
        <v>0</v>
      </c>
      <c r="L30" s="41"/>
      <c r="M30" s="41"/>
    </row>
    <row r="31" spans="1:13" x14ac:dyDescent="0.2">
      <c r="A31" s="1"/>
      <c r="B31" s="51"/>
      <c r="C31" s="14"/>
      <c r="D31" s="15"/>
      <c r="E31" s="15" t="s">
        <v>666</v>
      </c>
      <c r="F31" s="16"/>
      <c r="G31" s="25" t="str">
        <f t="shared" si="0"/>
        <v/>
      </c>
      <c r="H31" s="18"/>
      <c r="I31" s="1"/>
      <c r="J31" s="16"/>
      <c r="K31" s="62" t="str">
        <f t="shared" si="1"/>
        <v/>
      </c>
      <c r="L31" s="41"/>
      <c r="M31" s="41"/>
    </row>
    <row r="32" spans="1:13" s="343" customFormat="1" x14ac:dyDescent="0.2">
      <c r="A32" s="30"/>
      <c r="B32" s="67" t="s">
        <v>151</v>
      </c>
      <c r="C32" s="20" t="s">
        <v>150</v>
      </c>
      <c r="D32" s="450"/>
      <c r="E32" s="450" t="s">
        <v>666</v>
      </c>
      <c r="F32" s="431"/>
      <c r="G32" s="432" t="str">
        <f t="shared" si="0"/>
        <v/>
      </c>
      <c r="H32" s="452"/>
      <c r="I32" s="30"/>
      <c r="J32" s="431"/>
      <c r="K32" s="454" t="str">
        <f t="shared" si="1"/>
        <v/>
      </c>
      <c r="L32" s="447"/>
      <c r="M32" s="447"/>
    </row>
    <row r="33" spans="2:13" x14ac:dyDescent="0.2">
      <c r="B33" s="51"/>
      <c r="C33" s="14"/>
      <c r="D33" s="15"/>
      <c r="E33" s="15" t="s">
        <v>666</v>
      </c>
      <c r="F33" s="16"/>
      <c r="G33" s="25" t="str">
        <f t="shared" si="0"/>
        <v/>
      </c>
      <c r="J33" s="16"/>
      <c r="K33" s="62" t="str">
        <f t="shared" si="1"/>
        <v/>
      </c>
      <c r="L33" s="41"/>
      <c r="M33" s="41"/>
    </row>
    <row r="34" spans="2:13" x14ac:dyDescent="0.2">
      <c r="B34" s="51" t="s">
        <v>149</v>
      </c>
      <c r="C34" s="14" t="s">
        <v>704</v>
      </c>
      <c r="D34" s="22"/>
      <c r="E34" s="23" t="s">
        <v>666</v>
      </c>
      <c r="F34" s="16"/>
      <c r="G34" s="25" t="str">
        <f t="shared" si="0"/>
        <v/>
      </c>
      <c r="J34" s="16"/>
      <c r="K34" s="62" t="str">
        <f t="shared" si="1"/>
        <v/>
      </c>
      <c r="L34" s="41"/>
      <c r="M34" s="41"/>
    </row>
    <row r="35" spans="2:13" x14ac:dyDescent="0.2">
      <c r="B35" s="51"/>
      <c r="C35" s="14"/>
      <c r="D35" s="22"/>
      <c r="E35" s="23" t="s">
        <v>666</v>
      </c>
      <c r="F35" s="16"/>
      <c r="G35" s="25" t="str">
        <f t="shared" si="0"/>
        <v/>
      </c>
      <c r="J35" s="16"/>
      <c r="K35" s="62" t="str">
        <f t="shared" si="1"/>
        <v/>
      </c>
      <c r="L35" s="41"/>
      <c r="M35" s="41"/>
    </row>
    <row r="36" spans="2:13" x14ac:dyDescent="0.2">
      <c r="B36" s="51"/>
      <c r="C36" s="14" t="s">
        <v>850</v>
      </c>
      <c r="D36" s="22" t="s">
        <v>6</v>
      </c>
      <c r="E36" s="23">
        <v>15</v>
      </c>
      <c r="F36" s="16"/>
      <c r="G36" s="25">
        <f t="shared" si="0"/>
        <v>0</v>
      </c>
      <c r="J36" s="16">
        <f>3%*F36</f>
        <v>0</v>
      </c>
      <c r="K36" s="62">
        <f t="shared" si="1"/>
        <v>0</v>
      </c>
      <c r="L36" s="41"/>
      <c r="M36" s="41"/>
    </row>
    <row r="37" spans="2:13" x14ac:dyDescent="0.2">
      <c r="B37" s="51"/>
      <c r="C37" s="14"/>
      <c r="D37" s="15"/>
      <c r="E37" s="26" t="s">
        <v>666</v>
      </c>
      <c r="F37" s="16"/>
      <c r="G37" s="25" t="str">
        <f t="shared" si="0"/>
        <v/>
      </c>
      <c r="J37" s="16"/>
      <c r="K37" s="62" t="str">
        <f t="shared" si="1"/>
        <v/>
      </c>
      <c r="L37" s="41"/>
      <c r="M37" s="41"/>
    </row>
    <row r="38" spans="2:13" x14ac:dyDescent="0.2">
      <c r="B38" s="51"/>
      <c r="C38" s="14" t="s">
        <v>849</v>
      </c>
      <c r="D38" s="15" t="s">
        <v>6</v>
      </c>
      <c r="E38" s="26">
        <v>10</v>
      </c>
      <c r="F38" s="16"/>
      <c r="G38" s="25">
        <f t="shared" si="0"/>
        <v>0</v>
      </c>
      <c r="J38" s="16">
        <f>3%*F38</f>
        <v>0</v>
      </c>
      <c r="K38" s="62">
        <f t="shared" si="1"/>
        <v>0</v>
      </c>
    </row>
    <row r="39" spans="2:13" x14ac:dyDescent="0.2">
      <c r="B39" s="51"/>
      <c r="C39" s="14"/>
      <c r="D39" s="15"/>
      <c r="E39" s="26"/>
      <c r="F39" s="16"/>
      <c r="G39" s="25" t="str">
        <f t="shared" si="0"/>
        <v/>
      </c>
      <c r="J39" s="16"/>
      <c r="K39" s="62"/>
    </row>
    <row r="40" spans="2:13" x14ac:dyDescent="0.2">
      <c r="B40" s="51"/>
      <c r="C40" s="14" t="s">
        <v>1095</v>
      </c>
      <c r="D40" s="15" t="s">
        <v>6</v>
      </c>
      <c r="E40" s="26">
        <v>10</v>
      </c>
      <c r="F40" s="16"/>
      <c r="G40" s="25">
        <f t="shared" si="0"/>
        <v>0</v>
      </c>
      <c r="J40" s="16"/>
      <c r="K40" s="62"/>
    </row>
    <row r="41" spans="2:13" x14ac:dyDescent="0.2">
      <c r="B41" s="51"/>
      <c r="C41" s="14"/>
      <c r="D41" s="15"/>
      <c r="E41" s="26"/>
      <c r="F41" s="16"/>
      <c r="G41" s="25"/>
      <c r="J41" s="16"/>
      <c r="K41" s="62"/>
    </row>
    <row r="42" spans="2:13" x14ac:dyDescent="0.2">
      <c r="B42" s="51" t="s">
        <v>148</v>
      </c>
      <c r="C42" s="28" t="s">
        <v>398</v>
      </c>
      <c r="D42" s="61"/>
      <c r="E42" s="26" t="s">
        <v>666</v>
      </c>
      <c r="F42" s="16"/>
      <c r="G42" s="25" t="str">
        <f t="shared" si="0"/>
        <v/>
      </c>
      <c r="J42" s="16"/>
      <c r="K42" s="62" t="str">
        <f t="shared" si="1"/>
        <v/>
      </c>
      <c r="L42" s="41"/>
      <c r="M42" s="41"/>
    </row>
    <row r="43" spans="2:13" x14ac:dyDescent="0.2">
      <c r="B43" s="51"/>
      <c r="C43" s="14"/>
      <c r="D43" s="22"/>
      <c r="E43" s="26" t="s">
        <v>666</v>
      </c>
      <c r="F43" s="16"/>
      <c r="G43" s="25" t="str">
        <f t="shared" si="0"/>
        <v/>
      </c>
      <c r="J43" s="16"/>
      <c r="K43" s="62" t="str">
        <f t="shared" si="1"/>
        <v/>
      </c>
      <c r="L43" s="41"/>
      <c r="M43" s="41"/>
    </row>
    <row r="44" spans="2:13" x14ac:dyDescent="0.2">
      <c r="B44" s="51"/>
      <c r="C44" s="14" t="s">
        <v>850</v>
      </c>
      <c r="D44" s="22" t="s">
        <v>33</v>
      </c>
      <c r="E44" s="26">
        <v>2</v>
      </c>
      <c r="F44" s="16"/>
      <c r="G44" s="25">
        <f t="shared" si="0"/>
        <v>0</v>
      </c>
      <c r="J44" s="16">
        <f>3%*F44</f>
        <v>0</v>
      </c>
      <c r="K44" s="62">
        <f t="shared" si="1"/>
        <v>0</v>
      </c>
      <c r="L44" s="41"/>
      <c r="M44" s="41"/>
    </row>
    <row r="45" spans="2:13" x14ac:dyDescent="0.2">
      <c r="B45" s="51"/>
      <c r="C45" s="14"/>
      <c r="D45" s="15"/>
      <c r="E45" s="26" t="s">
        <v>666</v>
      </c>
      <c r="F45" s="16"/>
      <c r="G45" s="25" t="str">
        <f t="shared" si="0"/>
        <v/>
      </c>
      <c r="J45" s="16"/>
      <c r="K45" s="62" t="str">
        <f t="shared" si="1"/>
        <v/>
      </c>
      <c r="L45" s="41"/>
      <c r="M45" s="41"/>
    </row>
    <row r="46" spans="2:13" x14ac:dyDescent="0.2">
      <c r="B46" s="51"/>
      <c r="C46" s="14" t="s">
        <v>849</v>
      </c>
      <c r="D46" s="15" t="s">
        <v>33</v>
      </c>
      <c r="E46" s="26">
        <v>2</v>
      </c>
      <c r="F46" s="16"/>
      <c r="G46" s="25">
        <f t="shared" si="0"/>
        <v>0</v>
      </c>
      <c r="J46" s="16">
        <f>3%*F46</f>
        <v>0</v>
      </c>
      <c r="K46" s="62">
        <f t="shared" si="1"/>
        <v>0</v>
      </c>
      <c r="L46" s="41"/>
      <c r="M46" s="41"/>
    </row>
    <row r="47" spans="2:13" x14ac:dyDescent="0.2">
      <c r="B47" s="51"/>
      <c r="C47" s="14"/>
      <c r="D47" s="15"/>
      <c r="E47" s="26"/>
      <c r="F47" s="16"/>
      <c r="G47" s="25" t="str">
        <f t="shared" si="0"/>
        <v/>
      </c>
      <c r="J47" s="16"/>
      <c r="K47" s="62"/>
      <c r="L47" s="41"/>
      <c r="M47" s="41"/>
    </row>
    <row r="48" spans="2:13" ht="25.5" x14ac:dyDescent="0.2">
      <c r="B48" s="51" t="s">
        <v>851</v>
      </c>
      <c r="C48" s="14" t="s">
        <v>852</v>
      </c>
      <c r="D48" s="15" t="s">
        <v>6</v>
      </c>
      <c r="E48" s="26">
        <v>10</v>
      </c>
      <c r="F48" s="16"/>
      <c r="G48" s="25">
        <f t="shared" si="0"/>
        <v>0</v>
      </c>
      <c r="J48" s="16"/>
      <c r="K48" s="62"/>
      <c r="L48" s="41"/>
      <c r="M48" s="41"/>
    </row>
    <row r="49" spans="2:15" x14ac:dyDescent="0.2">
      <c r="B49" s="51"/>
      <c r="C49" s="14"/>
      <c r="D49" s="15"/>
      <c r="E49" s="26"/>
      <c r="F49" s="16"/>
      <c r="G49" s="25"/>
      <c r="J49" s="16"/>
      <c r="K49" s="62"/>
      <c r="L49" s="41"/>
      <c r="M49" s="41"/>
    </row>
    <row r="50" spans="2:15" x14ac:dyDescent="0.2">
      <c r="B50" s="51" t="s">
        <v>147</v>
      </c>
      <c r="C50" s="14" t="s">
        <v>146</v>
      </c>
      <c r="D50" s="15"/>
      <c r="E50" s="15" t="s">
        <v>666</v>
      </c>
      <c r="F50" s="16"/>
      <c r="G50" s="25" t="str">
        <f t="shared" si="0"/>
        <v/>
      </c>
      <c r="J50" s="16"/>
      <c r="K50" s="62" t="str">
        <f t="shared" si="1"/>
        <v/>
      </c>
      <c r="L50" s="41"/>
      <c r="M50" s="41"/>
    </row>
    <row r="51" spans="2:15" x14ac:dyDescent="0.2">
      <c r="B51" s="51"/>
      <c r="C51" s="14"/>
      <c r="D51" s="15"/>
      <c r="E51" s="15" t="s">
        <v>666</v>
      </c>
      <c r="F51" s="16"/>
      <c r="G51" s="25" t="str">
        <f t="shared" si="0"/>
        <v/>
      </c>
      <c r="J51" s="16"/>
      <c r="K51" s="62" t="str">
        <f t="shared" si="1"/>
        <v/>
      </c>
      <c r="L51" s="41"/>
      <c r="M51" s="41"/>
    </row>
    <row r="52" spans="2:15" ht="51" x14ac:dyDescent="0.2">
      <c r="B52" s="51" t="s">
        <v>145</v>
      </c>
      <c r="C52" s="14" t="s">
        <v>581</v>
      </c>
      <c r="D52" s="22" t="s">
        <v>23</v>
      </c>
      <c r="E52" s="15">
        <v>20</v>
      </c>
      <c r="F52" s="16"/>
      <c r="G52" s="25">
        <f t="shared" si="0"/>
        <v>0</v>
      </c>
      <c r="J52" s="338" t="e">
        <f>_Mix+_Haul+_Place</f>
        <v>#NAME?</v>
      </c>
      <c r="K52" s="62" t="e">
        <f t="shared" si="1"/>
        <v>#NAME?</v>
      </c>
      <c r="L52" s="41"/>
      <c r="M52" s="41"/>
    </row>
    <row r="53" spans="2:15" x14ac:dyDescent="0.2">
      <c r="B53" s="51"/>
      <c r="C53" s="14"/>
      <c r="D53" s="15"/>
      <c r="E53" s="15" t="s">
        <v>666</v>
      </c>
      <c r="F53" s="16"/>
      <c r="G53" s="25" t="str">
        <f t="shared" si="0"/>
        <v/>
      </c>
      <c r="J53" s="16"/>
      <c r="K53" s="62" t="str">
        <f t="shared" si="1"/>
        <v/>
      </c>
      <c r="L53" s="41"/>
      <c r="M53" s="41"/>
    </row>
    <row r="54" spans="2:15" ht="25.5" x14ac:dyDescent="0.2">
      <c r="B54" s="51" t="s">
        <v>144</v>
      </c>
      <c r="C54" s="14" t="s">
        <v>853</v>
      </c>
      <c r="D54" s="22" t="s">
        <v>51</v>
      </c>
      <c r="E54" s="15">
        <v>15</v>
      </c>
      <c r="F54" s="16"/>
      <c r="G54" s="25">
        <f t="shared" si="0"/>
        <v>0</v>
      </c>
      <c r="J54" s="339" t="e">
        <f>_Formwork</f>
        <v>#NAME?</v>
      </c>
      <c r="K54" s="62" t="e">
        <f t="shared" si="1"/>
        <v>#NAME?</v>
      </c>
      <c r="L54" s="41"/>
      <c r="M54" s="41"/>
    </row>
    <row r="55" spans="2:15" s="30" customFormat="1" ht="19.5" customHeight="1" x14ac:dyDescent="0.2">
      <c r="B55" s="121" t="str">
        <f>$B$10</f>
        <v>C3.2</v>
      </c>
      <c r="C55" s="32" t="s">
        <v>12</v>
      </c>
      <c r="D55" s="33"/>
      <c r="E55" s="34"/>
      <c r="F55" s="33"/>
      <c r="G55" s="352">
        <f>SUM(G10:G54)</f>
        <v>0</v>
      </c>
      <c r="H55" s="36"/>
      <c r="J55" s="16"/>
      <c r="K55" s="62" t="str">
        <f t="shared" si="1"/>
        <v/>
      </c>
      <c r="L55" s="41"/>
      <c r="M55" s="41"/>
      <c r="O55" s="38"/>
    </row>
    <row r="56" spans="2:15" s="1" customFormat="1" x14ac:dyDescent="0.2">
      <c r="B56" s="689" t="str">
        <f>Client1</f>
        <v>Province of KwaZulu-Natal</v>
      </c>
      <c r="C56" s="689"/>
      <c r="D56" s="689"/>
      <c r="E56" s="687" t="str">
        <f>"Contract No. "&amp;ContractNo</f>
        <v>Contract No. ZNB02287/00000/00/MET/INF/24/T</v>
      </c>
      <c r="F56" s="687"/>
      <c r="G56" s="687"/>
      <c r="H56" s="5"/>
      <c r="J56" s="16"/>
      <c r="K56" s="62" t="str">
        <f t="shared" si="1"/>
        <v/>
      </c>
      <c r="L56" s="41"/>
      <c r="M56" s="41"/>
      <c r="O56" s="38"/>
    </row>
    <row r="57" spans="2:15" s="1" customFormat="1" x14ac:dyDescent="0.2">
      <c r="B57" s="689" t="str">
        <f>Client2</f>
        <v>Department of Transport</v>
      </c>
      <c r="C57" s="689"/>
      <c r="D57" s="689"/>
      <c r="E57" s="687"/>
      <c r="F57" s="687"/>
      <c r="G57" s="687"/>
      <c r="H57" s="5"/>
      <c r="J57" s="16"/>
      <c r="K57" s="62" t="str">
        <f t="shared" si="1"/>
        <v/>
      </c>
      <c r="L57" s="41"/>
      <c r="M57" s="41"/>
      <c r="O57" s="38"/>
    </row>
    <row r="58" spans="2:15" s="1" customFormat="1" x14ac:dyDescent="0.2">
      <c r="B58" s="690"/>
      <c r="C58" s="690"/>
      <c r="D58" s="690"/>
      <c r="E58" s="688"/>
      <c r="F58" s="688"/>
      <c r="G58" s="688"/>
      <c r="H58" s="5"/>
      <c r="J58" s="16"/>
      <c r="K58" s="62" t="str">
        <f t="shared" si="1"/>
        <v/>
      </c>
      <c r="L58" s="41"/>
      <c r="M58" s="41"/>
      <c r="O58" s="38"/>
    </row>
    <row r="59" spans="2:15" s="1" customFormat="1" x14ac:dyDescent="0.2">
      <c r="B59" s="698" t="s">
        <v>8</v>
      </c>
      <c r="C59" s="699"/>
      <c r="D59" s="699"/>
      <c r="E59" s="699"/>
      <c r="F59" s="699"/>
      <c r="G59" s="700" t="str">
        <f>$G$5</f>
        <v>CHAPTER C3.2</v>
      </c>
      <c r="H59" s="6"/>
      <c r="J59" s="16"/>
      <c r="K59" s="62" t="str">
        <f t="shared" si="1"/>
        <v/>
      </c>
      <c r="L59" s="41"/>
      <c r="M59" s="41"/>
      <c r="O59" s="38"/>
    </row>
    <row r="60" spans="2:15" s="1" customFormat="1" x14ac:dyDescent="0.2">
      <c r="B60" s="691" t="str">
        <f>ContractDescription</f>
        <v>PROVISION OF ROUTINE AND SAFETY MAINTENANCE ON MIAN ROAD P3/1 (KM 69.00 TO KM 77.96), P3/2 (KM 0.00 TO KM 11.50), P21/2(KM 0.00 TO KM 29.83 IN THE ETHEKWINI METRO - DURBAN REGION</v>
      </c>
      <c r="C60" s="692"/>
      <c r="D60" s="692"/>
      <c r="E60" s="692"/>
      <c r="F60" s="692"/>
      <c r="G60" s="701"/>
      <c r="H60" s="8"/>
      <c r="J60" s="16"/>
      <c r="K60" s="62" t="str">
        <f t="shared" si="1"/>
        <v/>
      </c>
      <c r="L60" s="41"/>
      <c r="M60" s="41"/>
      <c r="O60" s="38"/>
    </row>
    <row r="61" spans="2:15" s="1" customFormat="1" x14ac:dyDescent="0.2">
      <c r="B61" s="691"/>
      <c r="C61" s="692"/>
      <c r="D61" s="692"/>
      <c r="E61" s="692"/>
      <c r="F61" s="692"/>
      <c r="G61" s="701"/>
      <c r="H61" s="8"/>
      <c r="J61" s="16"/>
      <c r="K61" s="62" t="str">
        <f t="shared" si="1"/>
        <v/>
      </c>
      <c r="L61" s="41"/>
      <c r="M61" s="41"/>
      <c r="O61" s="38"/>
    </row>
    <row r="62" spans="2:15" s="1" customFormat="1" x14ac:dyDescent="0.2">
      <c r="B62" s="693"/>
      <c r="C62" s="694"/>
      <c r="D62" s="694"/>
      <c r="E62" s="694"/>
      <c r="F62" s="694"/>
      <c r="G62" s="702"/>
      <c r="H62" s="8"/>
      <c r="J62" s="16"/>
      <c r="K62" s="62" t="str">
        <f t="shared" si="1"/>
        <v/>
      </c>
      <c r="L62" s="41"/>
      <c r="M62" s="41"/>
      <c r="O62" s="38"/>
    </row>
    <row r="63" spans="2:15" s="9" customFormat="1" ht="24.95" customHeight="1" x14ac:dyDescent="0.2">
      <c r="B63" s="68" t="s">
        <v>0</v>
      </c>
      <c r="C63" s="11" t="s">
        <v>1</v>
      </c>
      <c r="D63" s="11" t="s">
        <v>2</v>
      </c>
      <c r="E63" s="11" t="s">
        <v>3</v>
      </c>
      <c r="F63" s="11" t="s">
        <v>4</v>
      </c>
      <c r="G63" s="11" t="s">
        <v>5</v>
      </c>
      <c r="H63" s="12"/>
      <c r="J63" s="16"/>
      <c r="K63" s="62" t="str">
        <f t="shared" si="1"/>
        <v/>
      </c>
      <c r="L63" s="41"/>
      <c r="M63" s="41"/>
      <c r="O63" s="38"/>
    </row>
    <row r="64" spans="2:15" s="30" customFormat="1" ht="20.100000000000001" customHeight="1" x14ac:dyDescent="0.2">
      <c r="B64" s="74"/>
      <c r="C64" s="32" t="s">
        <v>26</v>
      </c>
      <c r="D64" s="74"/>
      <c r="E64" s="543"/>
      <c r="F64" s="74"/>
      <c r="G64" s="352">
        <f>G55</f>
        <v>0</v>
      </c>
      <c r="H64" s="36"/>
      <c r="J64" s="16"/>
      <c r="K64" s="62" t="str">
        <f t="shared" si="1"/>
        <v/>
      </c>
      <c r="L64" s="41"/>
      <c r="M64" s="41"/>
      <c r="O64" s="38"/>
    </row>
    <row r="65" spans="2:13" x14ac:dyDescent="0.2">
      <c r="B65" s="51"/>
      <c r="C65" s="120"/>
      <c r="D65" s="15"/>
      <c r="E65" s="26"/>
      <c r="F65" s="16"/>
      <c r="G65" s="25"/>
      <c r="J65" s="16"/>
      <c r="K65" s="62" t="str">
        <f t="shared" si="1"/>
        <v/>
      </c>
      <c r="L65" s="41"/>
      <c r="M65" s="41"/>
    </row>
    <row r="66" spans="2:13" s="343" customFormat="1" x14ac:dyDescent="0.2">
      <c r="B66" s="67" t="s">
        <v>143</v>
      </c>
      <c r="C66" s="501" t="s">
        <v>109</v>
      </c>
      <c r="D66" s="457"/>
      <c r="E66" s="451"/>
      <c r="F66" s="431"/>
      <c r="G66" s="432" t="str">
        <f t="shared" ref="G66:G99" si="2">IF(D66="","",E66*F66)</f>
        <v/>
      </c>
      <c r="J66" s="431"/>
      <c r="K66" s="454" t="str">
        <f t="shared" si="1"/>
        <v/>
      </c>
      <c r="L66" s="447"/>
      <c r="M66" s="447"/>
    </row>
    <row r="67" spans="2:13" x14ac:dyDescent="0.2">
      <c r="B67" s="51"/>
      <c r="C67" s="390"/>
      <c r="D67" s="61"/>
      <c r="E67" s="26"/>
      <c r="F67" s="16"/>
      <c r="G67" s="25" t="str">
        <f t="shared" si="2"/>
        <v/>
      </c>
      <c r="J67" s="339"/>
      <c r="K67" s="62" t="str">
        <f t="shared" si="1"/>
        <v/>
      </c>
      <c r="L67" s="41"/>
      <c r="M67" s="41"/>
    </row>
    <row r="68" spans="2:13" x14ac:dyDescent="0.2">
      <c r="B68" s="51" t="s">
        <v>142</v>
      </c>
      <c r="C68" s="14" t="s">
        <v>582</v>
      </c>
      <c r="D68" s="15" t="s">
        <v>24</v>
      </c>
      <c r="E68" s="26">
        <v>162</v>
      </c>
      <c r="F68" s="16"/>
      <c r="G68" s="25">
        <f t="shared" si="2"/>
        <v>0</v>
      </c>
      <c r="J68" s="339" t="e">
        <f>_Mesh</f>
        <v>#NAME?</v>
      </c>
      <c r="K68" s="62" t="e">
        <f t="shared" si="1"/>
        <v>#NAME?</v>
      </c>
      <c r="L68" s="41"/>
      <c r="M68" s="41"/>
    </row>
    <row r="69" spans="2:13" x14ac:dyDescent="0.2">
      <c r="B69" s="51"/>
      <c r="C69" s="14"/>
      <c r="D69" s="15"/>
      <c r="E69" s="26"/>
      <c r="F69" s="16"/>
      <c r="G69" s="25" t="str">
        <f t="shared" si="2"/>
        <v/>
      </c>
      <c r="J69" s="339"/>
      <c r="K69" s="62"/>
      <c r="L69" s="41"/>
      <c r="M69" s="41"/>
    </row>
    <row r="70" spans="2:13" s="343" customFormat="1" x14ac:dyDescent="0.2">
      <c r="B70" s="67" t="s">
        <v>854</v>
      </c>
      <c r="C70" s="20" t="s">
        <v>855</v>
      </c>
      <c r="D70" s="450"/>
      <c r="E70" s="451"/>
      <c r="F70" s="431"/>
      <c r="G70" s="25" t="str">
        <f t="shared" si="2"/>
        <v/>
      </c>
      <c r="J70" s="458"/>
      <c r="K70" s="454"/>
      <c r="L70" s="447"/>
      <c r="M70" s="447"/>
    </row>
    <row r="71" spans="2:13" ht="25.5" x14ac:dyDescent="0.2">
      <c r="B71" s="51" t="s">
        <v>856</v>
      </c>
      <c r="C71" s="14" t="s">
        <v>857</v>
      </c>
      <c r="D71" s="15" t="s">
        <v>743</v>
      </c>
      <c r="E71" s="26">
        <v>15.04</v>
      </c>
      <c r="F71" s="16"/>
      <c r="G71" s="25">
        <f t="shared" si="2"/>
        <v>0</v>
      </c>
      <c r="J71" s="339"/>
      <c r="K71" s="62"/>
      <c r="L71" s="41"/>
      <c r="M71" s="41"/>
    </row>
    <row r="72" spans="2:13" x14ac:dyDescent="0.2">
      <c r="B72" s="51"/>
      <c r="C72" s="14"/>
      <c r="D72" s="15"/>
      <c r="E72" s="26"/>
      <c r="F72" s="16"/>
      <c r="G72" s="25"/>
      <c r="J72" s="339"/>
      <c r="K72" s="62"/>
      <c r="L72" s="41"/>
      <c r="M72" s="41"/>
    </row>
    <row r="73" spans="2:13" s="343" customFormat="1" x14ac:dyDescent="0.2">
      <c r="B73" s="67" t="s">
        <v>141</v>
      </c>
      <c r="C73" s="20" t="s">
        <v>140</v>
      </c>
      <c r="D73" s="450"/>
      <c r="E73" s="451" t="s">
        <v>666</v>
      </c>
      <c r="F73" s="431"/>
      <c r="G73" s="432" t="str">
        <f t="shared" si="2"/>
        <v/>
      </c>
      <c r="J73" s="431"/>
      <c r="K73" s="454" t="str">
        <f t="shared" si="1"/>
        <v/>
      </c>
      <c r="L73" s="447"/>
      <c r="M73" s="447"/>
    </row>
    <row r="74" spans="2:13" x14ac:dyDescent="0.2">
      <c r="B74" s="51"/>
      <c r="C74" s="64"/>
      <c r="D74" s="65"/>
      <c r="E74" s="26" t="s">
        <v>666</v>
      </c>
      <c r="F74" s="16"/>
      <c r="G74" s="25" t="str">
        <f t="shared" si="2"/>
        <v/>
      </c>
      <c r="J74" s="16"/>
      <c r="K74" s="62" t="str">
        <f t="shared" si="1"/>
        <v/>
      </c>
      <c r="L74" s="41"/>
      <c r="M74" s="41"/>
    </row>
    <row r="75" spans="2:13" x14ac:dyDescent="0.2">
      <c r="B75" s="51" t="s">
        <v>139</v>
      </c>
      <c r="C75" s="14" t="s">
        <v>138</v>
      </c>
      <c r="D75" s="15" t="s">
        <v>167</v>
      </c>
      <c r="E75" s="26">
        <v>86</v>
      </c>
      <c r="F75" s="16"/>
      <c r="G75" s="25">
        <f t="shared" si="2"/>
        <v>0</v>
      </c>
      <c r="J75" s="16" t="e">
        <f>_Brickwork*1.5</f>
        <v>#NAME?</v>
      </c>
      <c r="K75" s="62" t="e">
        <f t="shared" si="1"/>
        <v>#NAME?</v>
      </c>
      <c r="L75" s="41"/>
      <c r="M75" s="41"/>
    </row>
    <row r="76" spans="2:13" x14ac:dyDescent="0.2">
      <c r="B76" s="51"/>
      <c r="C76" s="64"/>
      <c r="D76" s="15"/>
      <c r="E76" s="26" t="s">
        <v>666</v>
      </c>
      <c r="F76" s="16"/>
      <c r="G76" s="25" t="str">
        <f t="shared" si="2"/>
        <v/>
      </c>
      <c r="J76" s="16"/>
      <c r="K76" s="62" t="str">
        <f t="shared" si="1"/>
        <v/>
      </c>
      <c r="L76" s="41"/>
      <c r="M76" s="41"/>
    </row>
    <row r="77" spans="2:13" x14ac:dyDescent="0.2">
      <c r="B77" s="51" t="s">
        <v>858</v>
      </c>
      <c r="C77" s="64" t="s">
        <v>399</v>
      </c>
      <c r="D77" s="15" t="s">
        <v>256</v>
      </c>
      <c r="E77" s="26">
        <v>7</v>
      </c>
      <c r="F77" s="16"/>
      <c r="G77" s="25">
        <f t="shared" si="2"/>
        <v>0</v>
      </c>
      <c r="J77" s="16"/>
      <c r="K77" s="62"/>
      <c r="L77" s="41"/>
      <c r="M77" s="41"/>
    </row>
    <row r="78" spans="2:13" x14ac:dyDescent="0.2">
      <c r="B78" s="51"/>
      <c r="C78" s="64"/>
      <c r="D78" s="15"/>
      <c r="E78" s="26"/>
      <c r="F78" s="16"/>
      <c r="G78" s="25" t="str">
        <f t="shared" si="2"/>
        <v/>
      </c>
      <c r="J78" s="16"/>
      <c r="K78" s="62"/>
      <c r="L78" s="41"/>
      <c r="M78" s="41"/>
    </row>
    <row r="79" spans="2:13" s="343" customFormat="1" x14ac:dyDescent="0.2">
      <c r="B79" s="67" t="s">
        <v>859</v>
      </c>
      <c r="C79" s="459" t="s">
        <v>860</v>
      </c>
      <c r="D79" s="450"/>
      <c r="E79" s="451"/>
      <c r="F79" s="431"/>
      <c r="G79" s="25" t="str">
        <f t="shared" si="2"/>
        <v/>
      </c>
      <c r="J79" s="431"/>
      <c r="K79" s="454"/>
      <c r="L79" s="447"/>
      <c r="M79" s="447"/>
    </row>
    <row r="80" spans="2:13" x14ac:dyDescent="0.2">
      <c r="B80" s="51"/>
      <c r="C80" s="64"/>
      <c r="D80" s="15"/>
      <c r="E80" s="26"/>
      <c r="F80" s="16"/>
      <c r="G80" s="25" t="str">
        <f t="shared" si="2"/>
        <v/>
      </c>
      <c r="J80" s="16"/>
      <c r="K80" s="62"/>
      <c r="L80" s="41"/>
      <c r="M80" s="41"/>
    </row>
    <row r="81" spans="2:13" ht="25.5" x14ac:dyDescent="0.2">
      <c r="B81" s="51" t="s">
        <v>861</v>
      </c>
      <c r="C81" s="64" t="s">
        <v>862</v>
      </c>
      <c r="D81" s="15" t="s">
        <v>33</v>
      </c>
      <c r="E81" s="26">
        <v>60</v>
      </c>
      <c r="F81" s="16"/>
      <c r="G81" s="25">
        <f t="shared" si="2"/>
        <v>0</v>
      </c>
      <c r="J81" s="16"/>
      <c r="K81" s="62"/>
      <c r="L81" s="41"/>
      <c r="M81" s="41"/>
    </row>
    <row r="82" spans="2:13" x14ac:dyDescent="0.2">
      <c r="B82" s="51"/>
      <c r="C82" s="64"/>
      <c r="D82" s="15"/>
      <c r="E82" s="26"/>
      <c r="F82" s="16"/>
      <c r="G82" s="25" t="str">
        <f t="shared" si="2"/>
        <v/>
      </c>
      <c r="J82" s="16"/>
      <c r="K82" s="62"/>
      <c r="L82" s="41"/>
      <c r="M82" s="41"/>
    </row>
    <row r="83" spans="2:13" ht="25.5" x14ac:dyDescent="0.2">
      <c r="B83" s="51" t="s">
        <v>863</v>
      </c>
      <c r="C83" s="64" t="s">
        <v>864</v>
      </c>
      <c r="D83" s="15" t="s">
        <v>33</v>
      </c>
      <c r="E83" s="26">
        <v>10</v>
      </c>
      <c r="F83" s="16"/>
      <c r="G83" s="25">
        <f t="shared" si="2"/>
        <v>0</v>
      </c>
      <c r="J83" s="16"/>
      <c r="K83" s="62"/>
      <c r="L83" s="41"/>
      <c r="M83" s="41"/>
    </row>
    <row r="84" spans="2:13" x14ac:dyDescent="0.2">
      <c r="B84" s="51"/>
      <c r="C84" s="64"/>
      <c r="D84" s="15"/>
      <c r="E84" s="26"/>
      <c r="F84" s="16"/>
      <c r="G84" s="25" t="str">
        <f t="shared" si="2"/>
        <v/>
      </c>
      <c r="J84" s="16"/>
      <c r="K84" s="62"/>
      <c r="L84" s="41"/>
      <c r="M84" s="41"/>
    </row>
    <row r="85" spans="2:13" ht="25.5" x14ac:dyDescent="0.2">
      <c r="B85" s="51" t="s">
        <v>865</v>
      </c>
      <c r="C85" s="64" t="s">
        <v>866</v>
      </c>
      <c r="D85" s="15" t="s">
        <v>33</v>
      </c>
      <c r="E85" s="26">
        <v>10</v>
      </c>
      <c r="F85" s="16"/>
      <c r="G85" s="25">
        <f t="shared" si="2"/>
        <v>0</v>
      </c>
      <c r="J85" s="16"/>
      <c r="K85" s="62"/>
      <c r="L85" s="41"/>
      <c r="M85" s="41"/>
    </row>
    <row r="86" spans="2:13" x14ac:dyDescent="0.2">
      <c r="B86" s="51"/>
      <c r="C86" s="64"/>
      <c r="D86" s="15"/>
      <c r="E86" s="26"/>
      <c r="F86" s="16"/>
      <c r="G86" s="25" t="str">
        <f t="shared" si="2"/>
        <v/>
      </c>
      <c r="J86" s="16"/>
      <c r="K86" s="62"/>
      <c r="L86" s="41"/>
      <c r="M86" s="41"/>
    </row>
    <row r="87" spans="2:13" ht="25.5" x14ac:dyDescent="0.2">
      <c r="B87" s="51" t="s">
        <v>867</v>
      </c>
      <c r="C87" s="64" t="s">
        <v>868</v>
      </c>
      <c r="D87" s="15" t="s">
        <v>33</v>
      </c>
      <c r="E87" s="26">
        <v>10</v>
      </c>
      <c r="F87" s="16"/>
      <c r="G87" s="25">
        <f t="shared" si="2"/>
        <v>0</v>
      </c>
      <c r="J87" s="16"/>
      <c r="K87" s="62"/>
      <c r="L87" s="41"/>
      <c r="M87" s="41"/>
    </row>
    <row r="88" spans="2:13" x14ac:dyDescent="0.2">
      <c r="B88" s="51"/>
      <c r="C88" s="64"/>
      <c r="D88" s="15"/>
      <c r="E88" s="26"/>
      <c r="F88" s="16"/>
      <c r="G88" s="25" t="str">
        <f t="shared" si="2"/>
        <v/>
      </c>
      <c r="J88" s="16"/>
      <c r="K88" s="62"/>
      <c r="L88" s="41"/>
      <c r="M88" s="41"/>
    </row>
    <row r="89" spans="2:13" ht="25.5" x14ac:dyDescent="0.2">
      <c r="B89" s="51" t="s">
        <v>869</v>
      </c>
      <c r="C89" s="64" t="s">
        <v>870</v>
      </c>
      <c r="D89" s="15" t="s">
        <v>33</v>
      </c>
      <c r="E89" s="26">
        <v>10</v>
      </c>
      <c r="F89" s="16"/>
      <c r="G89" s="25">
        <f t="shared" si="2"/>
        <v>0</v>
      </c>
      <c r="J89" s="16"/>
      <c r="K89" s="62"/>
      <c r="L89" s="41"/>
      <c r="M89" s="41"/>
    </row>
    <row r="90" spans="2:13" x14ac:dyDescent="0.2">
      <c r="B90" s="51"/>
      <c r="C90" s="64"/>
      <c r="D90" s="15"/>
      <c r="E90" s="26"/>
      <c r="F90" s="16"/>
      <c r="G90" s="25" t="str">
        <f t="shared" si="2"/>
        <v/>
      </c>
      <c r="J90" s="16"/>
      <c r="K90" s="62"/>
      <c r="L90" s="41"/>
      <c r="M90" s="41"/>
    </row>
    <row r="91" spans="2:13" ht="25.5" x14ac:dyDescent="0.2">
      <c r="B91" s="51" t="s">
        <v>871</v>
      </c>
      <c r="C91" s="64" t="s">
        <v>872</v>
      </c>
      <c r="D91" s="15" t="s">
        <v>33</v>
      </c>
      <c r="E91" s="26">
        <v>10</v>
      </c>
      <c r="F91" s="16"/>
      <c r="G91" s="25">
        <f t="shared" si="2"/>
        <v>0</v>
      </c>
      <c r="J91" s="16"/>
      <c r="K91" s="62"/>
      <c r="L91" s="41"/>
      <c r="M91" s="41"/>
    </row>
    <row r="92" spans="2:13" x14ac:dyDescent="0.2">
      <c r="B92" s="51"/>
      <c r="C92" s="64"/>
      <c r="D92" s="15"/>
      <c r="E92" s="26"/>
      <c r="F92" s="16"/>
      <c r="G92" s="25" t="str">
        <f t="shared" si="2"/>
        <v/>
      </c>
      <c r="J92" s="16"/>
      <c r="K92" s="62"/>
      <c r="L92" s="41"/>
      <c r="M92" s="41"/>
    </row>
    <row r="93" spans="2:13" x14ac:dyDescent="0.2">
      <c r="B93" s="51" t="s">
        <v>873</v>
      </c>
      <c r="C93" s="64" t="s">
        <v>874</v>
      </c>
      <c r="D93" s="15" t="s">
        <v>33</v>
      </c>
      <c r="E93" s="26">
        <v>6</v>
      </c>
      <c r="F93" s="16"/>
      <c r="G93" s="25">
        <f t="shared" si="2"/>
        <v>0</v>
      </c>
      <c r="J93" s="16"/>
      <c r="K93" s="62"/>
      <c r="L93" s="41"/>
      <c r="M93" s="41"/>
    </row>
    <row r="94" spans="2:13" x14ac:dyDescent="0.2">
      <c r="B94" s="51"/>
      <c r="C94" s="64"/>
      <c r="D94" s="15"/>
      <c r="E94" s="26"/>
      <c r="F94" s="16"/>
      <c r="G94" s="25" t="str">
        <f t="shared" si="2"/>
        <v/>
      </c>
      <c r="J94" s="16"/>
      <c r="K94" s="62"/>
      <c r="L94" s="41"/>
      <c r="M94" s="41"/>
    </row>
    <row r="95" spans="2:13" s="343" customFormat="1" ht="25.5" x14ac:dyDescent="0.2">
      <c r="B95" s="67" t="s">
        <v>136</v>
      </c>
      <c r="C95" s="20" t="s">
        <v>135</v>
      </c>
      <c r="D95" s="450"/>
      <c r="E95" s="451" t="s">
        <v>666</v>
      </c>
      <c r="F95" s="431"/>
      <c r="G95" s="432" t="str">
        <f t="shared" si="2"/>
        <v/>
      </c>
      <c r="J95" s="431"/>
      <c r="K95" s="454" t="str">
        <f t="shared" si="1"/>
        <v/>
      </c>
      <c r="L95" s="447"/>
      <c r="M95" s="447"/>
    </row>
    <row r="96" spans="2:13" x14ac:dyDescent="0.2">
      <c r="B96" s="51"/>
      <c r="C96" s="14"/>
      <c r="D96" s="15"/>
      <c r="E96" s="26" t="s">
        <v>666</v>
      </c>
      <c r="F96" s="16"/>
      <c r="G96" s="25" t="str">
        <f t="shared" si="2"/>
        <v/>
      </c>
      <c r="J96" s="16"/>
      <c r="K96" s="62" t="str">
        <f t="shared" si="1"/>
        <v/>
      </c>
      <c r="L96" s="41"/>
      <c r="M96" s="41"/>
    </row>
    <row r="97" spans="2:13" ht="25.5" x14ac:dyDescent="0.2">
      <c r="B97" s="51" t="s">
        <v>134</v>
      </c>
      <c r="C97" s="64" t="s">
        <v>400</v>
      </c>
      <c r="D97" s="65" t="s">
        <v>168</v>
      </c>
      <c r="E97" s="26">
        <v>6</v>
      </c>
      <c r="F97" s="16"/>
      <c r="G97" s="25">
        <f t="shared" si="2"/>
        <v>0</v>
      </c>
      <c r="J97" s="16">
        <f>_Wacker</f>
        <v>0</v>
      </c>
      <c r="K97" s="62">
        <f t="shared" si="1"/>
        <v>0</v>
      </c>
      <c r="L97" s="41"/>
      <c r="M97" s="41"/>
    </row>
    <row r="98" spans="2:13" x14ac:dyDescent="0.2">
      <c r="B98" s="51"/>
      <c r="C98" s="64"/>
      <c r="D98" s="65"/>
      <c r="E98" s="26"/>
      <c r="F98" s="16"/>
      <c r="G98" s="25" t="str">
        <f t="shared" si="2"/>
        <v/>
      </c>
      <c r="J98" s="16"/>
      <c r="K98" s="62"/>
      <c r="L98" s="41"/>
      <c r="M98" s="41"/>
    </row>
    <row r="99" spans="2:13" ht="25.5" x14ac:dyDescent="0.2">
      <c r="B99" s="51" t="s">
        <v>875</v>
      </c>
      <c r="C99" s="14" t="s">
        <v>876</v>
      </c>
      <c r="D99" s="15" t="s">
        <v>181</v>
      </c>
      <c r="E99" s="26">
        <v>1</v>
      </c>
      <c r="F99" s="16"/>
      <c r="G99" s="25">
        <f t="shared" si="2"/>
        <v>0</v>
      </c>
      <c r="J99" s="16"/>
      <c r="K99" s="62" t="str">
        <f t="shared" si="1"/>
        <v/>
      </c>
      <c r="L99" s="41"/>
      <c r="M99" s="41"/>
    </row>
    <row r="100" spans="2:13" x14ac:dyDescent="0.2">
      <c r="B100" s="51"/>
      <c r="C100" s="14"/>
      <c r="D100" s="15"/>
      <c r="E100" s="26"/>
      <c r="F100" s="16"/>
      <c r="G100" s="25"/>
      <c r="J100" s="16"/>
      <c r="K100" s="62" t="str">
        <f t="shared" si="1"/>
        <v/>
      </c>
      <c r="L100" s="41"/>
      <c r="M100" s="41"/>
    </row>
    <row r="101" spans="2:13" x14ac:dyDescent="0.2">
      <c r="B101" s="51"/>
      <c r="C101" s="14"/>
      <c r="D101" s="15"/>
      <c r="E101" s="26"/>
      <c r="F101" s="16"/>
      <c r="G101" s="25"/>
      <c r="J101" s="16"/>
      <c r="K101" s="62" t="str">
        <f t="shared" ref="K101" si="3">IF(J101="","",J101*E101)</f>
        <v/>
      </c>
      <c r="L101" s="41"/>
      <c r="M101" s="41"/>
    </row>
    <row r="102" spans="2:13" s="30" customFormat="1" ht="19.5" customHeight="1" x14ac:dyDescent="0.2">
      <c r="B102" s="121" t="str">
        <f>$B$10</f>
        <v>C3.2</v>
      </c>
      <c r="C102" s="32" t="str">
        <f>"TOTAL CARRIED FORWARD"&amp;IF(G102=G$1," TO SUMMARY (Page C"&amp;Page_A&amp;")","")</f>
        <v>TOTAL CARRIED FORWARD TO SUMMARY (Page C49)</v>
      </c>
      <c r="D102" s="33"/>
      <c r="E102" s="34"/>
      <c r="F102" s="33"/>
      <c r="G102" s="352">
        <f>SUM(G64:G101)</f>
        <v>0</v>
      </c>
      <c r="H102" s="36"/>
      <c r="J102" s="343"/>
      <c r="K102" s="35" t="e">
        <f>SUM(K64:K101)</f>
        <v>#NAME?</v>
      </c>
    </row>
  </sheetData>
  <mergeCells count="11">
    <mergeCell ref="B59:F59"/>
    <mergeCell ref="G59:G62"/>
    <mergeCell ref="B60:F62"/>
    <mergeCell ref="E2:G2"/>
    <mergeCell ref="B5:F5"/>
    <mergeCell ref="G5:G8"/>
    <mergeCell ref="B6:F8"/>
    <mergeCell ref="B56:D56"/>
    <mergeCell ref="E56:G58"/>
    <mergeCell ref="B57:D57"/>
    <mergeCell ref="B58:D5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5" max="7" man="1"/>
  </rowBreaks>
  <extLst>
    <ext xmlns:x14="http://schemas.microsoft.com/office/spreadsheetml/2009/9/main" uri="{78C0D931-6437-407d-A8EE-F0AAD7539E65}">
      <x14:conditionalFormattings>
        <x14:conditionalFormatting xmlns:xm="http://schemas.microsoft.com/office/excel/2006/main">
          <x14:cfRule type="expression" priority="4" id="{1524751E-8066-47E5-88CC-4A75322C418C}">
            <xm:f>AND(Information!$C$8=FALSE,$D10&lt;&gt;"P C Sum",$D10&lt;&gt;"PC Sum",$D10&lt;&gt;"P Sum",$D10&lt;&gt;"Prov Sum")</xm:f>
            <x14:dxf>
              <font>
                <strike val="0"/>
                <color theme="0"/>
              </font>
              <numFmt numFmtId="4" formatCode="#,##0.00"/>
            </x14:dxf>
          </x14:cfRule>
          <xm:sqref>G55 F65:G101 F10:G51</xm:sqref>
        </x14:conditionalFormatting>
        <x14:conditionalFormatting xmlns:xm="http://schemas.microsoft.com/office/excel/2006/main">
          <x14:cfRule type="expression" priority="3" id="{FD87BB05-3F38-4584-BDFA-79B290D8C869}">
            <xm:f>AND(Information!$C$8=FALSE,$D52&lt;&gt;"P C Sum",$D52&lt;&gt;"PC Sum",$D52&lt;&gt;"P Sum",$D52&lt;&gt;"Prov Sum")</xm:f>
            <x14:dxf>
              <font>
                <strike val="0"/>
                <color theme="0"/>
              </font>
              <numFmt numFmtId="4" formatCode="#,##0.00"/>
            </x14:dxf>
          </x14:cfRule>
          <xm:sqref>F52:G54</xm:sqref>
        </x14:conditionalFormatting>
        <x14:conditionalFormatting xmlns:xm="http://schemas.microsoft.com/office/excel/2006/main">
          <x14:cfRule type="expression" priority="2" id="{34AB9AC1-8702-4CCA-9F14-12773933DE63}">
            <xm:f>AND(Information!$C$8=FALSE,$D64&lt;&gt;"P C Sum",$D64&lt;&gt;"PC Sum",$D64&lt;&gt;"P Sum",$D64&lt;&gt;"Prov Sum")</xm:f>
            <x14:dxf>
              <font>
                <strike val="0"/>
                <color theme="0"/>
              </font>
              <numFmt numFmtId="4" formatCode="#,##0.00"/>
            </x14:dxf>
          </x14:cfRule>
          <xm:sqref>G64</xm:sqref>
        </x14:conditionalFormatting>
        <x14:conditionalFormatting xmlns:xm="http://schemas.microsoft.com/office/excel/2006/main">
          <x14:cfRule type="expression" priority="1" id="{7CE92AF8-9DFC-4A4C-8ED5-2CBA4ECD0710}">
            <xm:f>AND(Information!$C$8=FALSE,$D102&lt;&gt;"P C Sum",$D102&lt;&gt;"PC Sum",$D102&lt;&gt;"P Sum",$D102&lt;&gt;"Prov Sum")</xm:f>
            <x14:dxf>
              <font>
                <strike val="0"/>
                <color theme="0"/>
              </font>
              <numFmt numFmtId="4" formatCode="#,##0.00"/>
            </x14:dxf>
          </x14:cfRule>
          <xm:sqref>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73C5-10F1-4C43-BA50-02BAA54F3DA9}">
  <sheetPr>
    <tabColor rgb="FF00B050"/>
  </sheetPr>
  <dimension ref="A1:M176"/>
  <sheetViews>
    <sheetView view="pageBreakPreview" topLeftCell="A118" zoomScaleNormal="100" zoomScaleSheetLayoutView="100" workbookViewId="0">
      <selection activeCell="F77" sqref="F77"/>
    </sheetView>
  </sheetViews>
  <sheetFormatPr defaultColWidth="6.85546875" defaultRowHeight="12.75" x14ac:dyDescent="0.2"/>
  <cols>
    <col min="1" max="1" width="0.85546875" style="38" customWidth="1"/>
    <col min="2" max="2" width="11.5703125" style="38" customWidth="1"/>
    <col min="3" max="3" width="45.5703125" style="38" customWidth="1"/>
    <col min="4" max="4" width="13.5703125" style="38" customWidth="1"/>
    <col min="5" max="7" width="15.5703125" style="38" customWidth="1"/>
    <col min="8" max="8" width="0.85546875" style="38" customWidth="1"/>
    <col min="9" max="9" width="6.85546875" style="38"/>
    <col min="10" max="10" width="8" style="38" bestFit="1" customWidth="1"/>
    <col min="11" max="11" width="11.85546875" style="38" bestFit="1" customWidth="1"/>
    <col min="12" max="16384" width="6.85546875" style="38"/>
  </cols>
  <sheetData>
    <row r="1" spans="1:13" x14ac:dyDescent="0.2">
      <c r="G1" s="166">
        <f>MAX(G9:G554)</f>
        <v>0</v>
      </c>
    </row>
    <row r="2" spans="1:13" x14ac:dyDescent="0.2">
      <c r="A2" s="1"/>
      <c r="B2" s="2" t="str">
        <f>Client1</f>
        <v>Province of KwaZulu-Natal</v>
      </c>
      <c r="C2" s="3"/>
      <c r="D2" s="4"/>
      <c r="E2" s="703" t="str">
        <f>"Contract No. "&amp;ContractNo</f>
        <v>Contract No. ZNB02287/00000/00/MET/INF/24/T</v>
      </c>
      <c r="F2" s="703"/>
      <c r="G2" s="703"/>
      <c r="H2" s="5"/>
      <c r="I2" s="1"/>
      <c r="J2" s="340"/>
      <c r="K2" s="340" t="e">
        <f>MAX(K3:K299)</f>
        <v>#NAME?</v>
      </c>
      <c r="L2" s="293"/>
      <c r="M2" s="294"/>
    </row>
    <row r="3" spans="1:13" x14ac:dyDescent="0.2">
      <c r="A3" s="1"/>
      <c r="B3" s="81" t="str">
        <f>Client2</f>
        <v>Department of Transport</v>
      </c>
      <c r="C3" s="3"/>
      <c r="D3" s="4"/>
      <c r="E3" s="4"/>
      <c r="F3" s="1"/>
      <c r="G3" s="5"/>
      <c r="H3" s="5"/>
      <c r="I3" s="1"/>
      <c r="J3" s="38" t="s">
        <v>470</v>
      </c>
      <c r="K3" s="38" t="s">
        <v>471</v>
      </c>
      <c r="L3" s="1" t="s">
        <v>472</v>
      </c>
      <c r="M3" s="1" t="s">
        <v>473</v>
      </c>
    </row>
    <row r="4" spans="1:13" x14ac:dyDescent="0.2">
      <c r="A4" s="1"/>
      <c r="B4" s="71"/>
      <c r="C4" s="71"/>
      <c r="D4" s="72"/>
      <c r="E4" s="72"/>
      <c r="F4" s="73"/>
      <c r="G4" s="82"/>
      <c r="H4" s="5"/>
      <c r="I4" s="1"/>
      <c r="J4" s="341"/>
      <c r="K4" s="341"/>
      <c r="L4" s="73"/>
      <c r="M4" s="73"/>
    </row>
    <row r="5" spans="1:13" x14ac:dyDescent="0.2">
      <c r="A5" s="1"/>
      <c r="B5" s="698" t="s">
        <v>8</v>
      </c>
      <c r="C5" s="699"/>
      <c r="D5" s="699"/>
      <c r="E5" s="699"/>
      <c r="F5" s="699"/>
      <c r="G5" s="695" t="str">
        <f>"CHAPTER "&amp;B11</f>
        <v>CHAPTER C3.3</v>
      </c>
      <c r="H5" s="6"/>
      <c r="I5" s="1"/>
      <c r="L5" s="1"/>
      <c r="M5" s="1"/>
    </row>
    <row r="6" spans="1:13" ht="7.5" customHeight="1" x14ac:dyDescent="0.2">
      <c r="A6" s="1"/>
      <c r="B6" s="691" t="str">
        <f>ContractDescription</f>
        <v>PROVISION OF ROUTINE AND SAFETY MAINTENANCE ON MIAN ROAD P3/1 (KM 69.00 TO KM 77.96), P3/2 (KM 0.00 TO KM 11.50), P21/2(KM 0.00 TO KM 29.83 IN THE ETHEKWINI METRO - DURBAN REGION</v>
      </c>
      <c r="C6" s="692"/>
      <c r="D6" s="692"/>
      <c r="E6" s="692"/>
      <c r="F6" s="692"/>
      <c r="G6" s="696"/>
      <c r="H6" s="8"/>
      <c r="I6" s="1"/>
      <c r="L6" s="1"/>
      <c r="M6" s="1"/>
    </row>
    <row r="7" spans="1:13" ht="12.75" customHeight="1" x14ac:dyDescent="0.2">
      <c r="A7" s="1"/>
      <c r="B7" s="691"/>
      <c r="C7" s="692"/>
      <c r="D7" s="692"/>
      <c r="E7" s="692"/>
      <c r="F7" s="692"/>
      <c r="G7" s="696"/>
      <c r="H7" s="8"/>
      <c r="I7" s="1"/>
      <c r="L7" s="1"/>
      <c r="M7" s="1"/>
    </row>
    <row r="8" spans="1:13" ht="7.5" customHeight="1" x14ac:dyDescent="0.2">
      <c r="A8" s="1"/>
      <c r="B8" s="693"/>
      <c r="C8" s="694"/>
      <c r="D8" s="694"/>
      <c r="E8" s="694"/>
      <c r="F8" s="694"/>
      <c r="G8" s="697"/>
      <c r="H8" s="8"/>
      <c r="I8" s="1"/>
      <c r="L8" s="1"/>
      <c r="M8" s="1"/>
    </row>
    <row r="9" spans="1:13" ht="24.95" customHeight="1" x14ac:dyDescent="0.2">
      <c r="A9" s="9"/>
      <c r="B9" s="10" t="s">
        <v>0</v>
      </c>
      <c r="C9" s="11" t="s">
        <v>1</v>
      </c>
      <c r="D9" s="11" t="s">
        <v>2</v>
      </c>
      <c r="E9" s="11" t="s">
        <v>3</v>
      </c>
      <c r="F9" s="11" t="s">
        <v>4</v>
      </c>
      <c r="G9" s="11" t="s">
        <v>5</v>
      </c>
      <c r="H9" s="12"/>
      <c r="I9" s="9"/>
      <c r="J9" s="342"/>
      <c r="K9" s="342"/>
      <c r="L9" s="11"/>
      <c r="M9" s="11"/>
    </row>
    <row r="10" spans="1:13" x14ac:dyDescent="0.2">
      <c r="A10" s="1"/>
      <c r="B10" s="51"/>
      <c r="C10" s="14"/>
      <c r="D10" s="15"/>
      <c r="E10" s="15"/>
      <c r="F10" s="631"/>
      <c r="G10" s="632" t="str">
        <f t="shared" ref="G10:G57" si="0">IF(D10="","",E10*F10)</f>
        <v/>
      </c>
      <c r="H10" s="18"/>
      <c r="I10" s="1"/>
      <c r="J10" s="16"/>
      <c r="K10" s="16"/>
      <c r="L10" s="16"/>
      <c r="M10" s="16"/>
    </row>
    <row r="11" spans="1:13" ht="51" x14ac:dyDescent="0.2">
      <c r="A11" s="1"/>
      <c r="B11" s="67" t="s">
        <v>123</v>
      </c>
      <c r="C11" s="20" t="s">
        <v>122</v>
      </c>
      <c r="D11" s="15"/>
      <c r="E11" s="15"/>
      <c r="F11" s="631"/>
      <c r="G11" s="632" t="str">
        <f t="shared" si="0"/>
        <v/>
      </c>
      <c r="H11" s="18"/>
      <c r="I11" s="1"/>
      <c r="J11" s="16"/>
      <c r="K11" s="16"/>
      <c r="L11" s="41"/>
      <c r="M11" s="41"/>
    </row>
    <row r="12" spans="1:13" x14ac:dyDescent="0.2">
      <c r="A12" s="1"/>
      <c r="B12" s="51"/>
      <c r="C12" s="14"/>
      <c r="D12" s="15"/>
      <c r="E12" s="15"/>
      <c r="F12" s="631"/>
      <c r="G12" s="632" t="str">
        <f t="shared" si="0"/>
        <v/>
      </c>
      <c r="H12" s="18"/>
      <c r="I12" s="1"/>
      <c r="J12" s="16"/>
      <c r="K12" s="16"/>
      <c r="L12" s="41"/>
      <c r="M12" s="41"/>
    </row>
    <row r="13" spans="1:13" s="343" customFormat="1" x14ac:dyDescent="0.2">
      <c r="A13" s="30"/>
      <c r="B13" s="449" t="s">
        <v>121</v>
      </c>
      <c r="C13" s="20" t="s">
        <v>120</v>
      </c>
      <c r="D13" s="450"/>
      <c r="E13" s="450"/>
      <c r="F13" s="633"/>
      <c r="G13" s="634" t="str">
        <f t="shared" si="0"/>
        <v/>
      </c>
      <c r="H13" s="452"/>
      <c r="I13" s="30"/>
      <c r="J13" s="453"/>
      <c r="K13" s="454" t="str">
        <f t="shared" ref="K13:K39" si="1">IF(J13="","",J13*E13)</f>
        <v/>
      </c>
      <c r="L13" s="455"/>
      <c r="M13" s="455"/>
    </row>
    <row r="14" spans="1:13" x14ac:dyDescent="0.2">
      <c r="A14" s="1"/>
      <c r="B14" s="59"/>
      <c r="C14" s="14"/>
      <c r="D14" s="15"/>
      <c r="E14" s="15"/>
      <c r="F14" s="631"/>
      <c r="G14" s="632" t="str">
        <f t="shared" si="0"/>
        <v/>
      </c>
      <c r="H14" s="18"/>
      <c r="I14" s="1"/>
      <c r="J14" s="16"/>
      <c r="K14" s="62" t="str">
        <f t="shared" si="1"/>
        <v/>
      </c>
      <c r="L14" s="41"/>
      <c r="M14" s="41"/>
    </row>
    <row r="15" spans="1:13" x14ac:dyDescent="0.2">
      <c r="A15" s="1"/>
      <c r="B15" s="51" t="s">
        <v>119</v>
      </c>
      <c r="C15" s="14" t="s">
        <v>401</v>
      </c>
      <c r="D15" s="22"/>
      <c r="E15" s="23"/>
      <c r="F15" s="631"/>
      <c r="G15" s="632" t="str">
        <f t="shared" si="0"/>
        <v/>
      </c>
      <c r="H15" s="58"/>
      <c r="I15" s="1"/>
      <c r="J15" s="16"/>
      <c r="K15" s="62" t="str">
        <f t="shared" si="1"/>
        <v/>
      </c>
      <c r="L15" s="41"/>
      <c r="M15" s="41"/>
    </row>
    <row r="16" spans="1:13" x14ac:dyDescent="0.2">
      <c r="A16" s="1"/>
      <c r="B16" s="59"/>
      <c r="C16" s="14"/>
      <c r="D16" s="15"/>
      <c r="E16" s="26"/>
      <c r="F16" s="631"/>
      <c r="G16" s="632" t="str">
        <f t="shared" si="0"/>
        <v/>
      </c>
      <c r="H16" s="18"/>
      <c r="I16" s="1"/>
      <c r="J16" s="16"/>
      <c r="K16" s="62" t="str">
        <f t="shared" si="1"/>
        <v/>
      </c>
      <c r="L16" s="41"/>
      <c r="M16" s="41"/>
    </row>
    <row r="17" spans="1:13" ht="25.5" x14ac:dyDescent="0.2">
      <c r="A17" s="1"/>
      <c r="B17" s="59" t="s">
        <v>34</v>
      </c>
      <c r="C17" s="14" t="s">
        <v>882</v>
      </c>
      <c r="D17" s="15" t="s">
        <v>6</v>
      </c>
      <c r="E17" s="26">
        <v>600</v>
      </c>
      <c r="F17" s="631"/>
      <c r="G17" s="632">
        <f t="shared" si="0"/>
        <v>0</v>
      </c>
      <c r="H17" s="18"/>
      <c r="I17" s="1"/>
      <c r="J17" s="344">
        <f>_Kerb</f>
        <v>0</v>
      </c>
      <c r="K17" s="62">
        <f t="shared" si="1"/>
        <v>0</v>
      </c>
      <c r="L17" s="41"/>
      <c r="M17" s="41"/>
    </row>
    <row r="18" spans="1:13" x14ac:dyDescent="0.2">
      <c r="A18" s="1"/>
      <c r="B18" s="59"/>
      <c r="C18" s="14"/>
      <c r="D18" s="15"/>
      <c r="E18" s="26"/>
      <c r="F18" s="631"/>
      <c r="G18" s="632"/>
      <c r="H18" s="18"/>
      <c r="I18" s="1"/>
      <c r="J18" s="344"/>
      <c r="K18" s="62"/>
      <c r="L18" s="41"/>
      <c r="M18" s="41"/>
    </row>
    <row r="19" spans="1:13" ht="25.5" x14ac:dyDescent="0.2">
      <c r="A19" s="1"/>
      <c r="B19" s="59" t="s">
        <v>35</v>
      </c>
      <c r="C19" s="14" t="s">
        <v>881</v>
      </c>
      <c r="D19" s="15" t="s">
        <v>6</v>
      </c>
      <c r="E19" s="26">
        <v>160</v>
      </c>
      <c r="F19" s="631"/>
      <c r="G19" s="632">
        <f t="shared" ref="G19" si="2">IF(D19="","",E19*F19)</f>
        <v>0</v>
      </c>
      <c r="H19" s="18"/>
      <c r="I19" s="1"/>
      <c r="J19" s="344">
        <f>_Kerb</f>
        <v>0</v>
      </c>
      <c r="K19" s="62">
        <f t="shared" ref="K19" si="3">IF(J19="","",J19*E19)</f>
        <v>0</v>
      </c>
      <c r="L19" s="41"/>
      <c r="M19" s="41"/>
    </row>
    <row r="20" spans="1:13" x14ac:dyDescent="0.2">
      <c r="A20" s="1"/>
      <c r="B20" s="59"/>
      <c r="C20" s="27"/>
      <c r="D20" s="61"/>
      <c r="E20" s="26"/>
      <c r="F20" s="631"/>
      <c r="G20" s="632" t="str">
        <f t="shared" si="0"/>
        <v/>
      </c>
      <c r="H20" s="63"/>
      <c r="I20" s="1"/>
      <c r="J20" s="16"/>
      <c r="K20" s="62" t="str">
        <f t="shared" si="1"/>
        <v/>
      </c>
      <c r="L20" s="41"/>
      <c r="M20" s="41"/>
    </row>
    <row r="21" spans="1:13" s="343" customFormat="1" x14ac:dyDescent="0.2">
      <c r="A21" s="30"/>
      <c r="B21" s="449" t="s">
        <v>118</v>
      </c>
      <c r="C21" s="20" t="s">
        <v>117</v>
      </c>
      <c r="D21" s="450"/>
      <c r="E21" s="451"/>
      <c r="F21" s="633"/>
      <c r="G21" s="634" t="str">
        <f t="shared" si="0"/>
        <v/>
      </c>
      <c r="H21" s="460"/>
      <c r="I21" s="30"/>
      <c r="J21" s="431"/>
      <c r="K21" s="454" t="str">
        <f t="shared" si="1"/>
        <v/>
      </c>
      <c r="L21" s="447"/>
      <c r="M21" s="447"/>
    </row>
    <row r="22" spans="1:13" x14ac:dyDescent="0.2">
      <c r="A22" s="1"/>
      <c r="B22" s="59"/>
      <c r="C22" s="14"/>
      <c r="D22" s="15"/>
      <c r="E22" s="26"/>
      <c r="F22" s="631"/>
      <c r="G22" s="632" t="str">
        <f t="shared" si="0"/>
        <v/>
      </c>
      <c r="H22" s="18"/>
      <c r="I22" s="1"/>
      <c r="J22" s="16"/>
      <c r="K22" s="62" t="str">
        <f t="shared" si="1"/>
        <v/>
      </c>
      <c r="L22" s="41"/>
      <c r="M22" s="41"/>
    </row>
    <row r="23" spans="1:13" x14ac:dyDescent="0.2">
      <c r="A23" s="1"/>
      <c r="B23" s="59" t="s">
        <v>116</v>
      </c>
      <c r="C23" s="14" t="s">
        <v>402</v>
      </c>
      <c r="D23" s="15"/>
      <c r="E23" s="26"/>
      <c r="F23" s="631"/>
      <c r="G23" s="632" t="str">
        <f t="shared" si="0"/>
        <v/>
      </c>
      <c r="H23" s="18"/>
      <c r="I23" s="1"/>
      <c r="J23" s="16"/>
      <c r="K23" s="62" t="str">
        <f t="shared" si="1"/>
        <v/>
      </c>
      <c r="L23" s="41"/>
      <c r="M23" s="41"/>
    </row>
    <row r="24" spans="1:13" x14ac:dyDescent="0.2">
      <c r="A24" s="1"/>
      <c r="B24" s="59"/>
      <c r="C24" s="14"/>
      <c r="D24" s="15"/>
      <c r="E24" s="26"/>
      <c r="F24" s="631"/>
      <c r="G24" s="632" t="str">
        <f t="shared" si="0"/>
        <v/>
      </c>
      <c r="H24" s="18"/>
      <c r="I24" s="1"/>
      <c r="J24" s="16"/>
      <c r="K24" s="62" t="str">
        <f t="shared" si="1"/>
        <v/>
      </c>
      <c r="L24" s="41"/>
      <c r="M24" s="41"/>
    </row>
    <row r="25" spans="1:13" ht="38.25" x14ac:dyDescent="0.2">
      <c r="A25" s="1"/>
      <c r="B25" s="59" t="s">
        <v>34</v>
      </c>
      <c r="C25" s="461" t="s">
        <v>879</v>
      </c>
      <c r="D25" s="15" t="s">
        <v>6</v>
      </c>
      <c r="E25" s="26">
        <v>400</v>
      </c>
      <c r="F25" s="631"/>
      <c r="G25" s="635">
        <f t="shared" si="0"/>
        <v>0</v>
      </c>
      <c r="H25" s="18"/>
      <c r="I25" s="1"/>
      <c r="J25" s="344" t="e">
        <f>_KandC+10</f>
        <v>#NAME?</v>
      </c>
      <c r="K25" s="62" t="e">
        <f t="shared" si="1"/>
        <v>#NAME?</v>
      </c>
      <c r="L25" s="41"/>
      <c r="M25" s="41"/>
    </row>
    <row r="26" spans="1:13" x14ac:dyDescent="0.2">
      <c r="A26" s="1"/>
      <c r="B26" s="59"/>
      <c r="C26" s="461"/>
      <c r="D26" s="15"/>
      <c r="E26" s="26"/>
      <c r="F26" s="631"/>
      <c r="G26" s="632"/>
      <c r="H26" s="18"/>
      <c r="I26" s="1"/>
      <c r="J26" s="344"/>
      <c r="K26" s="62"/>
      <c r="L26" s="41"/>
      <c r="M26" s="41"/>
    </row>
    <row r="27" spans="1:13" ht="38.25" x14ac:dyDescent="0.2">
      <c r="A27" s="1"/>
      <c r="B27" s="59" t="s">
        <v>35</v>
      </c>
      <c r="C27" s="461" t="s">
        <v>880</v>
      </c>
      <c r="D27" s="15" t="s">
        <v>6</v>
      </c>
      <c r="E27" s="26">
        <v>100</v>
      </c>
      <c r="F27" s="631"/>
      <c r="G27" s="635">
        <f t="shared" ref="G27:G33" si="4">IF(D27="","",E27*F27)</f>
        <v>0</v>
      </c>
      <c r="H27" s="18"/>
      <c r="I27" s="1"/>
      <c r="J27" s="344" t="e">
        <f>_KandC+10</f>
        <v>#NAME?</v>
      </c>
      <c r="K27" s="62" t="e">
        <f t="shared" ref="K27" si="5">IF(J27="","",J27*E27)</f>
        <v>#NAME?</v>
      </c>
      <c r="L27" s="41"/>
      <c r="M27" s="41"/>
    </row>
    <row r="28" spans="1:13" x14ac:dyDescent="0.2">
      <c r="A28" s="1"/>
      <c r="B28" s="59"/>
      <c r="C28" s="461"/>
      <c r="D28" s="15"/>
      <c r="E28" s="26"/>
      <c r="F28" s="631"/>
      <c r="G28" s="635" t="str">
        <f t="shared" si="4"/>
        <v/>
      </c>
      <c r="H28" s="18"/>
      <c r="I28" s="1"/>
      <c r="J28" s="344"/>
      <c r="K28" s="62"/>
      <c r="L28" s="41"/>
      <c r="M28" s="41"/>
    </row>
    <row r="29" spans="1:13" x14ac:dyDescent="0.2">
      <c r="A29" s="1"/>
      <c r="B29" s="59" t="s">
        <v>883</v>
      </c>
      <c r="C29" s="461" t="s">
        <v>884</v>
      </c>
      <c r="D29" s="15"/>
      <c r="E29" s="26"/>
      <c r="F29" s="631"/>
      <c r="G29" s="635" t="str">
        <f t="shared" si="4"/>
        <v/>
      </c>
      <c r="H29" s="18"/>
      <c r="I29" s="1"/>
      <c r="J29" s="344"/>
      <c r="K29" s="62"/>
      <c r="L29" s="41"/>
      <c r="M29" s="41"/>
    </row>
    <row r="30" spans="1:13" x14ac:dyDescent="0.2">
      <c r="A30" s="1"/>
      <c r="B30" s="59"/>
      <c r="C30" s="461"/>
      <c r="D30" s="15"/>
      <c r="E30" s="26"/>
      <c r="F30" s="631"/>
      <c r="G30" s="635" t="str">
        <f t="shared" si="4"/>
        <v/>
      </c>
      <c r="H30" s="18"/>
      <c r="I30" s="1"/>
      <c r="J30" s="344"/>
      <c r="K30" s="62"/>
      <c r="L30" s="41"/>
      <c r="M30" s="41"/>
    </row>
    <row r="31" spans="1:13" ht="38.25" x14ac:dyDescent="0.2">
      <c r="A31" s="1"/>
      <c r="B31" s="59"/>
      <c r="C31" s="461" t="s">
        <v>877</v>
      </c>
      <c r="D31" s="15" t="s">
        <v>6</v>
      </c>
      <c r="E31" s="26">
        <v>20</v>
      </c>
      <c r="F31" s="631"/>
      <c r="G31" s="635">
        <f t="shared" si="4"/>
        <v>0</v>
      </c>
      <c r="H31" s="18"/>
      <c r="I31" s="1"/>
      <c r="J31" s="344"/>
      <c r="K31" s="62"/>
      <c r="L31" s="41"/>
      <c r="M31" s="41"/>
    </row>
    <row r="32" spans="1:13" x14ac:dyDescent="0.2">
      <c r="A32" s="1"/>
      <c r="B32" s="59"/>
      <c r="C32" s="461"/>
      <c r="D32" s="15"/>
      <c r="E32" s="26"/>
      <c r="F32" s="631"/>
      <c r="G32" s="635" t="str">
        <f t="shared" si="4"/>
        <v/>
      </c>
      <c r="H32" s="18"/>
      <c r="I32" s="1"/>
      <c r="J32" s="344"/>
      <c r="K32" s="62"/>
      <c r="L32" s="41"/>
      <c r="M32" s="41"/>
    </row>
    <row r="33" spans="1:13" ht="38.25" x14ac:dyDescent="0.2">
      <c r="A33" s="1"/>
      <c r="B33" s="59"/>
      <c r="C33" s="461" t="s">
        <v>878</v>
      </c>
      <c r="D33" s="15" t="s">
        <v>6</v>
      </c>
      <c r="E33" s="26">
        <v>20</v>
      </c>
      <c r="F33" s="631"/>
      <c r="G33" s="635">
        <f t="shared" si="4"/>
        <v>0</v>
      </c>
      <c r="H33" s="18"/>
      <c r="I33" s="1"/>
      <c r="J33" s="344"/>
      <c r="K33" s="62"/>
      <c r="L33" s="41"/>
      <c r="M33" s="41"/>
    </row>
    <row r="34" spans="1:13" x14ac:dyDescent="0.2">
      <c r="A34" s="1"/>
      <c r="B34" s="59"/>
      <c r="C34" s="14"/>
      <c r="D34" s="15"/>
      <c r="E34" s="26"/>
      <c r="F34" s="631"/>
      <c r="G34" s="635" t="str">
        <f t="shared" si="0"/>
        <v/>
      </c>
      <c r="H34" s="18"/>
      <c r="I34" s="1"/>
      <c r="J34" s="16"/>
      <c r="K34" s="62" t="str">
        <f t="shared" si="1"/>
        <v/>
      </c>
      <c r="L34" s="41"/>
      <c r="M34" s="41"/>
    </row>
    <row r="35" spans="1:13" ht="38.25" x14ac:dyDescent="0.2">
      <c r="A35" s="1"/>
      <c r="B35" s="59" t="s">
        <v>115</v>
      </c>
      <c r="C35" s="14" t="s">
        <v>114</v>
      </c>
      <c r="D35" s="15"/>
      <c r="E35" s="15"/>
      <c r="F35" s="631"/>
      <c r="G35" s="635" t="str">
        <f t="shared" si="0"/>
        <v/>
      </c>
      <c r="H35" s="18"/>
      <c r="I35" s="1"/>
      <c r="J35" s="16"/>
      <c r="K35" s="62" t="str">
        <f t="shared" si="1"/>
        <v/>
      </c>
      <c r="L35" s="41"/>
      <c r="M35" s="41"/>
    </row>
    <row r="36" spans="1:13" x14ac:dyDescent="0.2">
      <c r="A36" s="1"/>
      <c r="B36" s="59"/>
      <c r="C36" s="14"/>
      <c r="D36" s="15"/>
      <c r="E36" s="15"/>
      <c r="F36" s="631"/>
      <c r="G36" s="635" t="str">
        <f t="shared" si="0"/>
        <v/>
      </c>
      <c r="H36" s="18"/>
      <c r="I36" s="1"/>
      <c r="J36" s="16"/>
      <c r="K36" s="62" t="str">
        <f t="shared" si="1"/>
        <v/>
      </c>
      <c r="L36" s="41"/>
      <c r="M36" s="41"/>
    </row>
    <row r="37" spans="1:13" ht="25.5" x14ac:dyDescent="0.2">
      <c r="A37" s="1"/>
      <c r="B37" s="59" t="s">
        <v>113</v>
      </c>
      <c r="C37" s="14" t="s">
        <v>112</v>
      </c>
      <c r="D37" s="15" t="s">
        <v>6</v>
      </c>
      <c r="E37" s="15">
        <v>20</v>
      </c>
      <c r="F37" s="631"/>
      <c r="G37" s="635">
        <f t="shared" si="0"/>
        <v>0</v>
      </c>
      <c r="H37" s="18"/>
      <c r="I37" s="1"/>
      <c r="J37" s="344" t="e">
        <f>_KandC+10</f>
        <v>#NAME?</v>
      </c>
      <c r="K37" s="62" t="e">
        <f t="shared" si="1"/>
        <v>#NAME?</v>
      </c>
      <c r="L37" s="41"/>
      <c r="M37" s="41"/>
    </row>
    <row r="38" spans="1:13" x14ac:dyDescent="0.2">
      <c r="A38" s="1"/>
      <c r="B38" s="59"/>
      <c r="C38" s="14"/>
      <c r="D38" s="61"/>
      <c r="E38" s="15"/>
      <c r="F38" s="631"/>
      <c r="G38" s="635" t="str">
        <f t="shared" si="0"/>
        <v/>
      </c>
      <c r="H38" s="18"/>
      <c r="I38" s="1"/>
      <c r="J38" s="16"/>
      <c r="K38" s="62" t="str">
        <f t="shared" si="1"/>
        <v/>
      </c>
      <c r="L38" s="41"/>
      <c r="M38" s="41"/>
    </row>
    <row r="39" spans="1:13" ht="25.5" x14ac:dyDescent="0.2">
      <c r="A39" s="1"/>
      <c r="B39" s="59" t="s">
        <v>111</v>
      </c>
      <c r="C39" s="28" t="s">
        <v>110</v>
      </c>
      <c r="D39" s="61" t="s">
        <v>6</v>
      </c>
      <c r="E39" s="61">
        <v>20</v>
      </c>
      <c r="F39" s="631"/>
      <c r="G39" s="635">
        <f t="shared" si="0"/>
        <v>0</v>
      </c>
      <c r="H39" s="63"/>
      <c r="I39" s="1"/>
      <c r="J39" s="344" t="e">
        <f>_KandC+10</f>
        <v>#NAME?</v>
      </c>
      <c r="K39" s="62" t="e">
        <f t="shared" si="1"/>
        <v>#NAME?</v>
      </c>
      <c r="L39" s="41"/>
      <c r="M39" s="41"/>
    </row>
    <row r="40" spans="1:13" x14ac:dyDescent="0.2">
      <c r="A40" s="1"/>
      <c r="B40" s="59"/>
      <c r="C40" s="120"/>
      <c r="D40" s="61"/>
      <c r="E40" s="61"/>
      <c r="F40" s="631"/>
      <c r="G40" s="635" t="str">
        <f t="shared" si="0"/>
        <v/>
      </c>
      <c r="H40" s="63"/>
      <c r="I40" s="1"/>
      <c r="J40" s="344"/>
      <c r="K40" s="62"/>
      <c r="L40" s="41"/>
      <c r="M40" s="41"/>
    </row>
    <row r="41" spans="1:13" x14ac:dyDescent="0.2">
      <c r="A41" s="1"/>
      <c r="B41" s="485" t="s">
        <v>886</v>
      </c>
      <c r="C41" s="465" t="s">
        <v>887</v>
      </c>
      <c r="D41" s="478" t="s">
        <v>6</v>
      </c>
      <c r="E41" s="482">
        <v>10</v>
      </c>
      <c r="F41" s="636"/>
      <c r="G41" s="635">
        <f t="shared" si="0"/>
        <v>0</v>
      </c>
      <c r="H41" s="63"/>
      <c r="I41" s="1"/>
      <c r="J41" s="344"/>
      <c r="K41" s="62"/>
      <c r="L41" s="41"/>
      <c r="M41" s="41"/>
    </row>
    <row r="42" spans="1:13" x14ac:dyDescent="0.2">
      <c r="A42" s="1"/>
      <c r="B42" s="485"/>
      <c r="C42" s="465"/>
      <c r="D42" s="478"/>
      <c r="E42" s="482"/>
      <c r="F42" s="636"/>
      <c r="G42" s="635" t="str">
        <f t="shared" si="0"/>
        <v/>
      </c>
      <c r="H42" s="63"/>
      <c r="I42" s="1"/>
      <c r="J42" s="344"/>
      <c r="K42" s="62"/>
      <c r="L42" s="41"/>
      <c r="M42" s="41"/>
    </row>
    <row r="43" spans="1:13" x14ac:dyDescent="0.2">
      <c r="A43" s="1"/>
      <c r="B43" s="485" t="s">
        <v>888</v>
      </c>
      <c r="C43" s="465" t="s">
        <v>889</v>
      </c>
      <c r="D43" s="478"/>
      <c r="E43" s="482"/>
      <c r="F43" s="636"/>
      <c r="G43" s="635" t="str">
        <f t="shared" si="0"/>
        <v/>
      </c>
      <c r="H43" s="63"/>
      <c r="I43" s="1"/>
      <c r="J43" s="344"/>
      <c r="K43" s="62"/>
      <c r="L43" s="41"/>
      <c r="M43" s="41"/>
    </row>
    <row r="44" spans="1:13" x14ac:dyDescent="0.2">
      <c r="A44" s="1"/>
      <c r="B44" s="485"/>
      <c r="C44" s="465"/>
      <c r="D44" s="478"/>
      <c r="E44" s="482"/>
      <c r="F44" s="636"/>
      <c r="G44" s="635" t="str">
        <f t="shared" si="0"/>
        <v/>
      </c>
      <c r="H44" s="63"/>
      <c r="I44" s="1"/>
      <c r="J44" s="344"/>
      <c r="K44" s="62"/>
      <c r="L44" s="41"/>
      <c r="M44" s="41"/>
    </row>
    <row r="45" spans="1:13" x14ac:dyDescent="0.2">
      <c r="A45" s="1"/>
      <c r="B45" s="486" t="s">
        <v>890</v>
      </c>
      <c r="C45" s="464" t="s">
        <v>891</v>
      </c>
      <c r="D45" s="479" t="s">
        <v>6</v>
      </c>
      <c r="E45" s="482">
        <v>40</v>
      </c>
      <c r="F45" s="636"/>
      <c r="G45" s="635">
        <f t="shared" si="0"/>
        <v>0</v>
      </c>
      <c r="H45" s="63"/>
      <c r="I45" s="1"/>
      <c r="J45" s="344"/>
      <c r="K45" s="62"/>
      <c r="L45" s="41"/>
      <c r="M45" s="41"/>
    </row>
    <row r="46" spans="1:13" x14ac:dyDescent="0.2">
      <c r="A46" s="1"/>
      <c r="B46" s="485"/>
      <c r="C46" s="465"/>
      <c r="D46" s="479"/>
      <c r="E46" s="482"/>
      <c r="F46" s="637"/>
      <c r="G46" s="635" t="str">
        <f t="shared" si="0"/>
        <v/>
      </c>
      <c r="H46" s="63"/>
      <c r="I46" s="1"/>
      <c r="J46" s="344"/>
      <c r="K46" s="62"/>
      <c r="L46" s="41"/>
      <c r="M46" s="41"/>
    </row>
    <row r="47" spans="1:13" x14ac:dyDescent="0.2">
      <c r="A47" s="1"/>
      <c r="B47" s="486" t="s">
        <v>892</v>
      </c>
      <c r="C47" s="464" t="s">
        <v>893</v>
      </c>
      <c r="D47" s="479" t="s">
        <v>6</v>
      </c>
      <c r="E47" s="482">
        <v>40</v>
      </c>
      <c r="F47" s="636"/>
      <c r="G47" s="635">
        <f t="shared" si="0"/>
        <v>0</v>
      </c>
      <c r="H47" s="63"/>
      <c r="I47" s="1"/>
      <c r="J47" s="344"/>
      <c r="K47" s="62"/>
      <c r="L47" s="41"/>
      <c r="M47" s="41"/>
    </row>
    <row r="48" spans="1:13" x14ac:dyDescent="0.2">
      <c r="A48" s="1"/>
      <c r="B48" s="485"/>
      <c r="C48" s="465"/>
      <c r="D48" s="478"/>
      <c r="E48" s="482"/>
      <c r="F48" s="637"/>
      <c r="G48" s="635" t="str">
        <f t="shared" si="0"/>
        <v/>
      </c>
      <c r="H48" s="63"/>
      <c r="I48" s="1"/>
      <c r="J48" s="344"/>
      <c r="K48" s="62"/>
      <c r="L48" s="41"/>
      <c r="M48" s="41"/>
    </row>
    <row r="49" spans="1:13" ht="14.25" x14ac:dyDescent="0.2">
      <c r="A49" s="1"/>
      <c r="B49" s="486" t="s">
        <v>894</v>
      </c>
      <c r="C49" s="464" t="s">
        <v>895</v>
      </c>
      <c r="D49" s="480" t="s">
        <v>51</v>
      </c>
      <c r="E49" s="482">
        <v>8</v>
      </c>
      <c r="F49" s="636"/>
      <c r="G49" s="635">
        <f t="shared" si="0"/>
        <v>0</v>
      </c>
      <c r="H49" s="63"/>
      <c r="I49" s="1"/>
      <c r="J49" s="344"/>
      <c r="K49" s="62"/>
      <c r="L49" s="41"/>
      <c r="M49" s="41"/>
    </row>
    <row r="50" spans="1:13" x14ac:dyDescent="0.2">
      <c r="A50" s="1"/>
      <c r="B50" s="59"/>
      <c r="C50" s="120"/>
      <c r="D50" s="61"/>
      <c r="E50" s="61"/>
      <c r="F50" s="631"/>
      <c r="G50" s="635" t="str">
        <f t="shared" si="0"/>
        <v/>
      </c>
      <c r="H50" s="63"/>
      <c r="I50" s="1"/>
      <c r="J50" s="344"/>
      <c r="K50" s="62"/>
      <c r="L50" s="41"/>
      <c r="M50" s="41"/>
    </row>
    <row r="51" spans="1:13" x14ac:dyDescent="0.2">
      <c r="A51" s="1"/>
      <c r="B51" s="59" t="s">
        <v>896</v>
      </c>
      <c r="C51" s="120" t="s">
        <v>897</v>
      </c>
      <c r="D51" s="61"/>
      <c r="E51" s="61"/>
      <c r="F51" s="631"/>
      <c r="G51" s="635" t="str">
        <f t="shared" si="0"/>
        <v/>
      </c>
      <c r="H51" s="63"/>
      <c r="I51" s="1"/>
      <c r="J51" s="344"/>
      <c r="K51" s="62"/>
      <c r="L51" s="41"/>
      <c r="M51" s="41"/>
    </row>
    <row r="52" spans="1:13" x14ac:dyDescent="0.2">
      <c r="A52" s="1"/>
      <c r="B52" s="59"/>
      <c r="C52" s="120"/>
      <c r="D52" s="61"/>
      <c r="E52" s="61"/>
      <c r="F52" s="631"/>
      <c r="G52" s="635" t="str">
        <f t="shared" si="0"/>
        <v/>
      </c>
      <c r="H52" s="63"/>
      <c r="I52" s="1"/>
      <c r="J52" s="344"/>
      <c r="K52" s="62"/>
      <c r="L52" s="41"/>
      <c r="M52" s="41"/>
    </row>
    <row r="53" spans="1:13" x14ac:dyDescent="0.2">
      <c r="A53" s="1"/>
      <c r="B53" s="59" t="s">
        <v>898</v>
      </c>
      <c r="C53" s="120" t="s">
        <v>899</v>
      </c>
      <c r="D53" s="61" t="s">
        <v>6</v>
      </c>
      <c r="E53" s="61">
        <v>160</v>
      </c>
      <c r="F53" s="631"/>
      <c r="G53" s="635">
        <f t="shared" si="0"/>
        <v>0</v>
      </c>
      <c r="H53" s="63"/>
      <c r="I53" s="1"/>
      <c r="J53" s="344"/>
      <c r="K53" s="62"/>
      <c r="L53" s="41"/>
      <c r="M53" s="41"/>
    </row>
    <row r="54" spans="1:13" x14ac:dyDescent="0.2">
      <c r="A54" s="1"/>
      <c r="B54" s="59"/>
      <c r="C54" s="120"/>
      <c r="D54" s="61"/>
      <c r="E54" s="61"/>
      <c r="F54" s="631"/>
      <c r="G54" s="635" t="str">
        <f t="shared" si="0"/>
        <v/>
      </c>
      <c r="H54" s="63"/>
      <c r="I54" s="1"/>
      <c r="J54" s="344"/>
      <c r="K54" s="62"/>
      <c r="L54" s="41"/>
      <c r="M54" s="41"/>
    </row>
    <row r="55" spans="1:13" ht="25.5" x14ac:dyDescent="0.2">
      <c r="A55" s="1"/>
      <c r="B55" s="59" t="s">
        <v>900</v>
      </c>
      <c r="C55" s="120" t="s">
        <v>901</v>
      </c>
      <c r="D55" s="61" t="s">
        <v>6</v>
      </c>
      <c r="E55" s="61">
        <v>100</v>
      </c>
      <c r="F55" s="631"/>
      <c r="G55" s="635">
        <f t="shared" si="0"/>
        <v>0</v>
      </c>
      <c r="H55" s="63"/>
      <c r="I55" s="1"/>
      <c r="J55" s="344"/>
      <c r="K55" s="62"/>
      <c r="L55" s="41"/>
      <c r="M55" s="41"/>
    </row>
    <row r="56" spans="1:13" x14ac:dyDescent="0.2">
      <c r="A56" s="1"/>
      <c r="B56" s="59"/>
      <c r="C56" s="120"/>
      <c r="D56" s="61"/>
      <c r="E56" s="61"/>
      <c r="F56" s="631"/>
      <c r="G56" s="632" t="str">
        <f t="shared" si="0"/>
        <v/>
      </c>
      <c r="H56" s="63"/>
      <c r="I56" s="1"/>
      <c r="J56" s="344"/>
      <c r="K56" s="62"/>
      <c r="L56" s="41"/>
      <c r="M56" s="41"/>
    </row>
    <row r="57" spans="1:13" ht="25.5" x14ac:dyDescent="0.2">
      <c r="A57" s="1"/>
      <c r="B57" s="59" t="s">
        <v>902</v>
      </c>
      <c r="C57" s="120" t="s">
        <v>903</v>
      </c>
      <c r="D57" s="61" t="s">
        <v>6</v>
      </c>
      <c r="E57" s="61">
        <v>80</v>
      </c>
      <c r="F57" s="631"/>
      <c r="G57" s="635">
        <f t="shared" si="0"/>
        <v>0</v>
      </c>
      <c r="H57" s="63"/>
      <c r="I57" s="1"/>
      <c r="J57" s="344"/>
      <c r="K57" s="62"/>
      <c r="L57" s="41"/>
      <c r="M57" s="41"/>
    </row>
    <row r="58" spans="1:13" x14ac:dyDescent="0.2">
      <c r="A58" s="1"/>
      <c r="B58" s="59"/>
      <c r="C58" s="120"/>
      <c r="D58" s="61"/>
      <c r="E58" s="61"/>
      <c r="F58" s="631"/>
      <c r="G58" s="632"/>
      <c r="H58" s="63"/>
      <c r="I58" s="1"/>
      <c r="J58" s="344"/>
      <c r="K58" s="62"/>
      <c r="L58" s="41"/>
      <c r="M58" s="41"/>
    </row>
    <row r="59" spans="1:13" x14ac:dyDescent="0.2">
      <c r="A59" s="1"/>
      <c r="B59" s="59"/>
      <c r="C59" s="120"/>
      <c r="D59" s="61"/>
      <c r="E59" s="61"/>
      <c r="F59" s="631"/>
      <c r="G59" s="632"/>
      <c r="H59" s="63"/>
      <c r="I59" s="1"/>
      <c r="J59" s="344"/>
      <c r="K59" s="62"/>
      <c r="L59" s="41"/>
      <c r="M59" s="41"/>
    </row>
    <row r="60" spans="1:13" x14ac:dyDescent="0.2">
      <c r="A60" s="1"/>
      <c r="B60" s="59"/>
      <c r="C60" s="120"/>
      <c r="D60" s="61"/>
      <c r="E60" s="61"/>
      <c r="F60" s="631"/>
      <c r="G60" s="632"/>
      <c r="H60" s="63"/>
      <c r="I60" s="1"/>
      <c r="J60" s="344"/>
      <c r="K60" s="62"/>
      <c r="L60" s="41"/>
      <c r="M60" s="41"/>
    </row>
    <row r="61" spans="1:13" s="30" customFormat="1" ht="26.1" customHeight="1" x14ac:dyDescent="0.2">
      <c r="B61" s="121" t="str">
        <f>$B$11</f>
        <v>C3.3</v>
      </c>
      <c r="C61" s="32" t="str">
        <f>"TOTAL CARRIED FORWARD"&amp;IF(G61=G$1," TO SUMMARY (Page C"&amp;Page_A&amp;")","")</f>
        <v>TOTAL CARRIED FORWARD TO SUMMARY (Page C49)</v>
      </c>
      <c r="D61" s="33"/>
      <c r="E61" s="34"/>
      <c r="F61" s="33"/>
      <c r="G61" s="352">
        <f>SUM(G10:G60)</f>
        <v>0</v>
      </c>
      <c r="H61" s="36"/>
      <c r="J61" s="16"/>
      <c r="K61" s="62" t="str">
        <f t="shared" ref="K61" si="6">IF(J61="","",J61*E61)</f>
        <v/>
      </c>
      <c r="L61" s="41"/>
      <c r="M61" s="41"/>
    </row>
    <row r="62" spans="1:13" s="30" customFormat="1" ht="11.45" customHeight="1" x14ac:dyDescent="0.2">
      <c r="B62" s="462"/>
      <c r="D62" s="463"/>
      <c r="E62" s="257"/>
      <c r="F62" s="463"/>
      <c r="G62" s="42"/>
      <c r="H62" s="36"/>
      <c r="J62" s="56"/>
      <c r="K62" s="38"/>
      <c r="L62" s="80"/>
      <c r="M62" s="80"/>
    </row>
    <row r="63" spans="1:13" s="30" customFormat="1" ht="12.6" customHeight="1" x14ac:dyDescent="0.2">
      <c r="B63" s="2" t="str">
        <f>Client1</f>
        <v>Province of KwaZulu-Natal</v>
      </c>
      <c r="C63" s="3"/>
      <c r="D63" s="4"/>
      <c r="E63" s="703" t="str">
        <f>"Contract No. "&amp;ContractNo</f>
        <v>Contract No. ZNB02287/00000/00/MET/INF/24/T</v>
      </c>
      <c r="F63" s="703"/>
      <c r="G63" s="703"/>
      <c r="H63" s="36"/>
      <c r="J63" s="56"/>
      <c r="K63" s="38"/>
      <c r="L63" s="80"/>
      <c r="M63" s="80"/>
    </row>
    <row r="64" spans="1:13" s="30" customFormat="1" ht="12.6" customHeight="1" x14ac:dyDescent="0.2">
      <c r="B64" s="81" t="str">
        <f>Client2</f>
        <v>Department of Transport</v>
      </c>
      <c r="C64" s="3"/>
      <c r="D64" s="4"/>
      <c r="E64" s="4"/>
      <c r="F64" s="1"/>
      <c r="G64" s="5"/>
      <c r="H64" s="36"/>
      <c r="J64" s="56"/>
      <c r="K64" s="38"/>
      <c r="L64" s="80"/>
      <c r="M64" s="80"/>
    </row>
    <row r="65" spans="2:13" s="30" customFormat="1" ht="12.6" customHeight="1" x14ac:dyDescent="0.2">
      <c r="B65" s="71"/>
      <c r="C65" s="71"/>
      <c r="D65" s="72"/>
      <c r="E65" s="72"/>
      <c r="F65" s="73"/>
      <c r="G65" s="82"/>
      <c r="H65" s="36"/>
      <c r="J65" s="56"/>
      <c r="K65" s="38"/>
      <c r="L65" s="80"/>
      <c r="M65" s="80"/>
    </row>
    <row r="66" spans="2:13" s="30" customFormat="1" ht="12.6" customHeight="1" x14ac:dyDescent="0.2">
      <c r="B66" s="698" t="s">
        <v>8</v>
      </c>
      <c r="C66" s="699"/>
      <c r="D66" s="699"/>
      <c r="E66" s="699"/>
      <c r="F66" s="699"/>
      <c r="G66" s="695" t="s">
        <v>885</v>
      </c>
      <c r="H66" s="36"/>
      <c r="J66" s="56"/>
      <c r="K66" s="38"/>
      <c r="L66" s="80"/>
      <c r="M66" s="80"/>
    </row>
    <row r="67" spans="2:13" s="30" customFormat="1" ht="12.6" customHeight="1" x14ac:dyDescent="0.2">
      <c r="B67" s="691" t="str">
        <f>ContractDescription</f>
        <v>PROVISION OF ROUTINE AND SAFETY MAINTENANCE ON MIAN ROAD P3/1 (KM 69.00 TO KM 77.96), P3/2 (KM 0.00 TO KM 11.50), P21/2(KM 0.00 TO KM 29.83 IN THE ETHEKWINI METRO - DURBAN REGION</v>
      </c>
      <c r="C67" s="692"/>
      <c r="D67" s="692"/>
      <c r="E67" s="692"/>
      <c r="F67" s="692"/>
      <c r="G67" s="696"/>
      <c r="H67" s="36"/>
      <c r="J67" s="56"/>
      <c r="K67" s="38"/>
      <c r="L67" s="80"/>
      <c r="M67" s="80"/>
    </row>
    <row r="68" spans="2:13" s="30" customFormat="1" ht="12.6" customHeight="1" x14ac:dyDescent="0.2">
      <c r="B68" s="691"/>
      <c r="C68" s="692"/>
      <c r="D68" s="692"/>
      <c r="E68" s="692"/>
      <c r="F68" s="692"/>
      <c r="G68" s="696"/>
      <c r="H68" s="36"/>
      <c r="J68" s="56"/>
      <c r="K68" s="38"/>
      <c r="L68" s="80"/>
      <c r="M68" s="80"/>
    </row>
    <row r="69" spans="2:13" s="30" customFormat="1" ht="12.6" customHeight="1" x14ac:dyDescent="0.2">
      <c r="B69" s="693"/>
      <c r="C69" s="694"/>
      <c r="D69" s="694"/>
      <c r="E69" s="694"/>
      <c r="F69" s="694"/>
      <c r="G69" s="697"/>
      <c r="H69" s="36"/>
      <c r="J69" s="56"/>
      <c r="K69" s="38"/>
      <c r="L69" s="80"/>
      <c r="M69" s="80"/>
    </row>
    <row r="70" spans="2:13" s="30" customFormat="1" ht="12.6" customHeight="1" x14ac:dyDescent="0.2">
      <c r="B70" s="552" t="s">
        <v>0</v>
      </c>
      <c r="C70" s="551" t="s">
        <v>1</v>
      </c>
      <c r="D70" s="484" t="s">
        <v>2</v>
      </c>
      <c r="E70" s="481" t="s">
        <v>3</v>
      </c>
      <c r="F70" s="484" t="s">
        <v>4</v>
      </c>
      <c r="G70" s="483" t="s">
        <v>5</v>
      </c>
      <c r="H70" s="36"/>
      <c r="J70" s="56"/>
      <c r="K70" s="38"/>
      <c r="L70" s="80"/>
      <c r="M70" s="80"/>
    </row>
    <row r="71" spans="2:13" s="30" customFormat="1" ht="12.6" customHeight="1" x14ac:dyDescent="0.2">
      <c r="B71" s="124"/>
      <c r="C71" s="554" t="s">
        <v>26</v>
      </c>
      <c r="D71" s="473"/>
      <c r="E71" s="559"/>
      <c r="F71" s="473"/>
      <c r="G71" s="560">
        <f>G61</f>
        <v>0</v>
      </c>
      <c r="H71" s="36"/>
      <c r="J71" s="56"/>
      <c r="K71" s="38" t="s">
        <v>666</v>
      </c>
      <c r="L71" s="80"/>
      <c r="M71" s="80"/>
    </row>
    <row r="72" spans="2:13" s="30" customFormat="1" ht="12.6" customHeight="1" x14ac:dyDescent="0.2">
      <c r="B72" s="124"/>
      <c r="D72" s="470"/>
      <c r="E72" s="257"/>
      <c r="F72" s="638"/>
      <c r="G72" s="639"/>
      <c r="H72" s="36"/>
      <c r="J72" s="56"/>
      <c r="K72" s="38"/>
      <c r="L72" s="80"/>
      <c r="M72" s="80"/>
    </row>
    <row r="73" spans="2:13" s="30" customFormat="1" ht="12.6" customHeight="1" x14ac:dyDescent="0.2">
      <c r="B73" s="465" t="s">
        <v>896</v>
      </c>
      <c r="C73" s="128" t="s">
        <v>897</v>
      </c>
      <c r="D73" s="555"/>
      <c r="E73" s="547"/>
      <c r="F73" s="638"/>
      <c r="G73" s="640" t="str">
        <f t="shared" ref="G73:G120" si="7">IF(D73="","",E73*F73)</f>
        <v/>
      </c>
      <c r="H73" s="36"/>
      <c r="J73" s="56"/>
      <c r="K73" s="38"/>
      <c r="L73" s="80"/>
      <c r="M73" s="80"/>
    </row>
    <row r="74" spans="2:13" s="30" customFormat="1" ht="12.6" customHeight="1" x14ac:dyDescent="0.2">
      <c r="B74" s="464"/>
      <c r="C74" s="128"/>
      <c r="D74" s="555"/>
      <c r="E74" s="547"/>
      <c r="F74" s="638"/>
      <c r="G74" s="640" t="str">
        <f t="shared" si="7"/>
        <v/>
      </c>
      <c r="H74" s="36"/>
      <c r="J74" s="56"/>
      <c r="K74" s="38"/>
      <c r="L74" s="80"/>
      <c r="M74" s="80"/>
    </row>
    <row r="75" spans="2:13" s="30" customFormat="1" ht="12.6" customHeight="1" x14ac:dyDescent="0.2">
      <c r="B75" s="464" t="s">
        <v>898</v>
      </c>
      <c r="C75" s="84" t="s">
        <v>899</v>
      </c>
      <c r="D75" s="469" t="s">
        <v>6</v>
      </c>
      <c r="E75" s="548">
        <v>160</v>
      </c>
      <c r="F75" s="641"/>
      <c r="G75" s="640">
        <f t="shared" si="7"/>
        <v>0</v>
      </c>
      <c r="H75" s="36"/>
      <c r="J75" s="56"/>
      <c r="K75" s="38"/>
      <c r="L75" s="80"/>
      <c r="M75" s="80"/>
    </row>
    <row r="76" spans="2:13" s="30" customFormat="1" ht="12.6" customHeight="1" x14ac:dyDescent="0.2">
      <c r="B76" s="464"/>
      <c r="C76" s="128"/>
      <c r="D76" s="469"/>
      <c r="E76" s="548"/>
      <c r="F76" s="641"/>
      <c r="G76" s="640" t="str">
        <f t="shared" si="7"/>
        <v/>
      </c>
      <c r="H76" s="36"/>
      <c r="J76" s="56"/>
      <c r="K76" s="38"/>
      <c r="L76" s="80"/>
      <c r="M76" s="80"/>
    </row>
    <row r="77" spans="2:13" s="30" customFormat="1" ht="12.6" customHeight="1" x14ac:dyDescent="0.2">
      <c r="B77" s="464" t="s">
        <v>900</v>
      </c>
      <c r="C77" s="84" t="s">
        <v>901</v>
      </c>
      <c r="D77" s="469" t="s">
        <v>6</v>
      </c>
      <c r="E77" s="548">
        <v>100</v>
      </c>
      <c r="F77" s="641"/>
      <c r="G77" s="640">
        <f t="shared" si="7"/>
        <v>0</v>
      </c>
      <c r="H77" s="36"/>
      <c r="J77" s="56"/>
      <c r="K77" s="38"/>
      <c r="L77" s="80"/>
      <c r="M77" s="80"/>
    </row>
    <row r="78" spans="2:13" s="30" customFormat="1" ht="12.6" customHeight="1" x14ac:dyDescent="0.2">
      <c r="B78" s="464"/>
      <c r="C78" s="128"/>
      <c r="D78" s="469"/>
      <c r="E78" s="548"/>
      <c r="F78" s="641"/>
      <c r="G78" s="640" t="str">
        <f t="shared" si="7"/>
        <v/>
      </c>
      <c r="H78" s="36"/>
      <c r="J78" s="56"/>
      <c r="K78" s="38"/>
      <c r="L78" s="80"/>
      <c r="M78" s="80"/>
    </row>
    <row r="79" spans="2:13" s="30" customFormat="1" ht="12.6" customHeight="1" x14ac:dyDescent="0.2">
      <c r="B79" s="464" t="s">
        <v>902</v>
      </c>
      <c r="C79" s="84" t="s">
        <v>903</v>
      </c>
      <c r="D79" s="469" t="s">
        <v>6</v>
      </c>
      <c r="E79" s="548">
        <v>80</v>
      </c>
      <c r="F79" s="641"/>
      <c r="G79" s="640">
        <f t="shared" si="7"/>
        <v>0</v>
      </c>
      <c r="H79" s="36"/>
      <c r="J79" s="56"/>
      <c r="K79" s="38"/>
      <c r="L79" s="80"/>
      <c r="M79" s="80"/>
    </row>
    <row r="80" spans="2:13" s="30" customFormat="1" ht="12.6" customHeight="1" x14ac:dyDescent="0.2">
      <c r="B80" s="464"/>
      <c r="C80" s="128"/>
      <c r="D80" s="469"/>
      <c r="E80" s="547"/>
      <c r="F80" s="641"/>
      <c r="G80" s="640" t="str">
        <f t="shared" si="7"/>
        <v/>
      </c>
      <c r="H80" s="36"/>
      <c r="J80" s="56"/>
      <c r="K80" s="38"/>
      <c r="L80" s="80"/>
      <c r="M80" s="80"/>
    </row>
    <row r="81" spans="2:13" s="30" customFormat="1" ht="12.6" customHeight="1" x14ac:dyDescent="0.2">
      <c r="B81" s="465" t="s">
        <v>904</v>
      </c>
      <c r="C81" s="128" t="s">
        <v>905</v>
      </c>
      <c r="D81" s="467"/>
      <c r="E81" s="222"/>
      <c r="F81" s="641"/>
      <c r="G81" s="640" t="str">
        <f t="shared" si="7"/>
        <v/>
      </c>
      <c r="H81" s="36"/>
      <c r="J81" s="56"/>
      <c r="K81" s="38"/>
      <c r="L81" s="80"/>
      <c r="M81" s="80"/>
    </row>
    <row r="82" spans="2:13" s="30" customFormat="1" ht="12.6" customHeight="1" x14ac:dyDescent="0.2">
      <c r="B82" s="464"/>
      <c r="C82" s="517"/>
      <c r="D82" s="467"/>
      <c r="E82" s="222"/>
      <c r="F82" s="641"/>
      <c r="G82" s="640" t="str">
        <f t="shared" si="7"/>
        <v/>
      </c>
      <c r="H82" s="36"/>
      <c r="J82" s="56"/>
      <c r="K82" s="38"/>
      <c r="L82" s="80"/>
      <c r="M82" s="80"/>
    </row>
    <row r="83" spans="2:13" s="30" customFormat="1" ht="12.6" customHeight="1" x14ac:dyDescent="0.2">
      <c r="B83" s="464" t="s">
        <v>906</v>
      </c>
      <c r="C83" s="84" t="s">
        <v>907</v>
      </c>
      <c r="D83" s="469" t="s">
        <v>23</v>
      </c>
      <c r="E83" s="550">
        <v>150</v>
      </c>
      <c r="F83" s="641"/>
      <c r="G83" s="640">
        <f t="shared" si="7"/>
        <v>0</v>
      </c>
      <c r="H83" s="36"/>
      <c r="J83" s="56"/>
      <c r="K83" s="38"/>
      <c r="L83" s="80"/>
      <c r="M83" s="80"/>
    </row>
    <row r="84" spans="2:13" s="30" customFormat="1" ht="12.6" customHeight="1" x14ac:dyDescent="0.2">
      <c r="B84" s="464"/>
      <c r="C84" s="517"/>
      <c r="D84" s="467"/>
      <c r="E84" s="222"/>
      <c r="F84" s="641"/>
      <c r="G84" s="640" t="str">
        <f t="shared" si="7"/>
        <v/>
      </c>
      <c r="H84" s="36"/>
      <c r="J84" s="56"/>
      <c r="K84" s="38"/>
      <c r="L84" s="80"/>
      <c r="M84" s="80"/>
    </row>
    <row r="85" spans="2:13" s="30" customFormat="1" ht="12.6" customHeight="1" x14ac:dyDescent="0.2">
      <c r="B85" s="464" t="s">
        <v>908</v>
      </c>
      <c r="C85" s="84" t="s">
        <v>909</v>
      </c>
      <c r="D85" s="469" t="s">
        <v>51</v>
      </c>
      <c r="E85" s="222">
        <v>1200</v>
      </c>
      <c r="F85" s="641"/>
      <c r="G85" s="640">
        <f t="shared" si="7"/>
        <v>0</v>
      </c>
      <c r="H85" s="36"/>
      <c r="J85" s="56"/>
      <c r="K85" s="38"/>
      <c r="L85" s="80"/>
      <c r="M85" s="80"/>
    </row>
    <row r="86" spans="2:13" s="30" customFormat="1" ht="12.6" customHeight="1" x14ac:dyDescent="0.2">
      <c r="B86" s="464"/>
      <c r="C86" s="517"/>
      <c r="D86" s="467"/>
      <c r="E86" s="222"/>
      <c r="F86" s="641"/>
      <c r="G86" s="640" t="str">
        <f t="shared" si="7"/>
        <v/>
      </c>
      <c r="H86" s="36"/>
      <c r="J86" s="56"/>
      <c r="K86" s="38"/>
      <c r="L86" s="80"/>
      <c r="M86" s="80"/>
    </row>
    <row r="87" spans="2:13" s="30" customFormat="1" ht="12.6" customHeight="1" x14ac:dyDescent="0.2">
      <c r="B87" s="464" t="s">
        <v>910</v>
      </c>
      <c r="C87" s="84" t="s">
        <v>911</v>
      </c>
      <c r="D87" s="467"/>
      <c r="E87" s="222"/>
      <c r="F87" s="641"/>
      <c r="G87" s="640" t="str">
        <f t="shared" si="7"/>
        <v/>
      </c>
      <c r="H87" s="36"/>
      <c r="J87" s="56"/>
      <c r="K87" s="38"/>
      <c r="L87" s="80"/>
      <c r="M87" s="80"/>
    </row>
    <row r="88" spans="2:13" s="30" customFormat="1" ht="12.6" customHeight="1" x14ac:dyDescent="0.2">
      <c r="B88" s="464"/>
      <c r="C88" s="517"/>
      <c r="D88" s="467"/>
      <c r="E88" s="222"/>
      <c r="F88" s="641"/>
      <c r="G88" s="640" t="str">
        <f t="shared" si="7"/>
        <v/>
      </c>
      <c r="H88" s="36"/>
      <c r="J88" s="56"/>
      <c r="K88" s="38"/>
      <c r="L88" s="80"/>
      <c r="M88" s="80"/>
    </row>
    <row r="89" spans="2:13" s="30" customFormat="1" ht="12.6" customHeight="1" x14ac:dyDescent="0.2">
      <c r="B89" s="464"/>
      <c r="C89" s="84" t="s">
        <v>912</v>
      </c>
      <c r="D89" s="469" t="s">
        <v>51</v>
      </c>
      <c r="E89" s="222">
        <v>100</v>
      </c>
      <c r="F89" s="641"/>
      <c r="G89" s="640">
        <f t="shared" si="7"/>
        <v>0</v>
      </c>
      <c r="H89" s="36"/>
      <c r="J89" s="56"/>
      <c r="K89" s="38"/>
      <c r="L89" s="80"/>
      <c r="M89" s="80"/>
    </row>
    <row r="90" spans="2:13" s="30" customFormat="1" ht="12.6" customHeight="1" x14ac:dyDescent="0.2">
      <c r="B90" s="464"/>
      <c r="C90" s="517"/>
      <c r="D90" s="467"/>
      <c r="E90" s="222"/>
      <c r="F90" s="641"/>
      <c r="G90" s="640" t="str">
        <f t="shared" si="7"/>
        <v/>
      </c>
      <c r="H90" s="36"/>
      <c r="J90" s="56"/>
      <c r="K90" s="38"/>
      <c r="L90" s="80"/>
      <c r="M90" s="80"/>
    </row>
    <row r="91" spans="2:13" s="30" customFormat="1" ht="12.6" customHeight="1" x14ac:dyDescent="0.2">
      <c r="B91" s="464"/>
      <c r="C91" s="84" t="s">
        <v>913</v>
      </c>
      <c r="D91" s="469" t="s">
        <v>51</v>
      </c>
      <c r="E91" s="222">
        <v>40</v>
      </c>
      <c r="F91" s="641"/>
      <c r="G91" s="640">
        <f t="shared" si="7"/>
        <v>0</v>
      </c>
      <c r="H91" s="36"/>
      <c r="J91" s="56"/>
      <c r="K91" s="38"/>
      <c r="L91" s="80"/>
      <c r="M91" s="80"/>
    </row>
    <row r="92" spans="2:13" s="30" customFormat="1" ht="12.6" customHeight="1" x14ac:dyDescent="0.2">
      <c r="B92" s="464"/>
      <c r="C92" s="517"/>
      <c r="D92" s="467"/>
      <c r="E92" s="222"/>
      <c r="F92" s="641"/>
      <c r="G92" s="640" t="str">
        <f t="shared" si="7"/>
        <v/>
      </c>
      <c r="H92" s="36"/>
      <c r="J92" s="56"/>
      <c r="K92" s="38"/>
      <c r="L92" s="80"/>
      <c r="M92" s="80"/>
    </row>
    <row r="93" spans="2:13" s="30" customFormat="1" ht="12.6" customHeight="1" x14ac:dyDescent="0.2">
      <c r="B93" s="465" t="s">
        <v>914</v>
      </c>
      <c r="C93" s="128" t="s">
        <v>915</v>
      </c>
      <c r="D93" s="556"/>
      <c r="E93" s="12"/>
      <c r="F93" s="641"/>
      <c r="G93" s="640" t="str">
        <f t="shared" si="7"/>
        <v/>
      </c>
      <c r="H93" s="36"/>
      <c r="J93" s="56"/>
      <c r="K93" s="38"/>
      <c r="L93" s="80"/>
      <c r="M93" s="80"/>
    </row>
    <row r="94" spans="2:13" s="30" customFormat="1" ht="12.6" customHeight="1" x14ac:dyDescent="0.2">
      <c r="B94" s="464"/>
      <c r="C94" s="517"/>
      <c r="D94" s="467"/>
      <c r="E94" s="222"/>
      <c r="F94" s="641"/>
      <c r="G94" s="640" t="str">
        <f t="shared" si="7"/>
        <v/>
      </c>
      <c r="H94" s="36"/>
      <c r="J94" s="56"/>
      <c r="K94" s="38"/>
      <c r="L94" s="80"/>
      <c r="M94" s="80"/>
    </row>
    <row r="95" spans="2:13" s="30" customFormat="1" ht="12.6" customHeight="1" x14ac:dyDescent="0.2">
      <c r="B95" s="464" t="s">
        <v>916</v>
      </c>
      <c r="C95" s="84" t="s">
        <v>917</v>
      </c>
      <c r="D95" s="469" t="s">
        <v>51</v>
      </c>
      <c r="E95" s="222">
        <v>150</v>
      </c>
      <c r="F95" s="641"/>
      <c r="G95" s="640">
        <f t="shared" si="7"/>
        <v>0</v>
      </c>
      <c r="H95" s="36"/>
      <c r="J95" s="56"/>
      <c r="K95" s="38"/>
      <c r="L95" s="80"/>
      <c r="M95" s="80"/>
    </row>
    <row r="96" spans="2:13" s="30" customFormat="1" ht="12.6" customHeight="1" x14ac:dyDescent="0.2">
      <c r="B96" s="464"/>
      <c r="C96" s="517"/>
      <c r="D96" s="467"/>
      <c r="E96" s="222"/>
      <c r="F96" s="641"/>
      <c r="G96" s="640" t="str">
        <f t="shared" si="7"/>
        <v/>
      </c>
      <c r="H96" s="36"/>
      <c r="J96" s="56"/>
      <c r="K96" s="38"/>
      <c r="L96" s="80"/>
      <c r="M96" s="80"/>
    </row>
    <row r="97" spans="2:13" s="30" customFormat="1" ht="12.6" customHeight="1" x14ac:dyDescent="0.2">
      <c r="B97" s="464" t="s">
        <v>918</v>
      </c>
      <c r="C97" s="84" t="s">
        <v>919</v>
      </c>
      <c r="D97" s="469" t="s">
        <v>51</v>
      </c>
      <c r="E97" s="222">
        <v>80</v>
      </c>
      <c r="F97" s="641"/>
      <c r="G97" s="640">
        <f t="shared" si="7"/>
        <v>0</v>
      </c>
      <c r="H97" s="36"/>
      <c r="J97" s="56"/>
      <c r="K97" s="38"/>
      <c r="L97" s="80"/>
      <c r="M97" s="80"/>
    </row>
    <row r="98" spans="2:13" s="30" customFormat="1" ht="12.6" customHeight="1" x14ac:dyDescent="0.2">
      <c r="B98" s="464"/>
      <c r="C98" s="517"/>
      <c r="D98" s="467"/>
      <c r="E98" s="222"/>
      <c r="F98" s="641"/>
      <c r="G98" s="640" t="str">
        <f t="shared" si="7"/>
        <v/>
      </c>
      <c r="H98" s="36"/>
      <c r="J98" s="56"/>
      <c r="K98" s="38"/>
      <c r="L98" s="80"/>
      <c r="M98" s="80"/>
    </row>
    <row r="99" spans="2:13" s="30" customFormat="1" ht="12.6" customHeight="1" x14ac:dyDescent="0.2">
      <c r="B99" s="464" t="s">
        <v>920</v>
      </c>
      <c r="C99" s="517" t="s">
        <v>921</v>
      </c>
      <c r="D99" s="469" t="s">
        <v>51</v>
      </c>
      <c r="E99" s="222">
        <v>12</v>
      </c>
      <c r="F99" s="641"/>
      <c r="G99" s="640">
        <f t="shared" si="7"/>
        <v>0</v>
      </c>
      <c r="H99" s="36"/>
      <c r="J99" s="56"/>
      <c r="K99" s="38"/>
      <c r="L99" s="80"/>
      <c r="M99" s="80"/>
    </row>
    <row r="100" spans="2:13" s="30" customFormat="1" ht="12.6" customHeight="1" x14ac:dyDescent="0.2">
      <c r="B100" s="464"/>
      <c r="C100" s="517"/>
      <c r="D100" s="467"/>
      <c r="E100" s="222"/>
      <c r="F100" s="638"/>
      <c r="G100" s="640" t="str">
        <f t="shared" si="7"/>
        <v/>
      </c>
      <c r="H100" s="36"/>
      <c r="J100" s="56"/>
      <c r="K100" s="38"/>
      <c r="L100" s="80"/>
      <c r="M100" s="80"/>
    </row>
    <row r="101" spans="2:13" s="30" customFormat="1" ht="12.6" customHeight="1" x14ac:dyDescent="0.2">
      <c r="B101" s="465" t="s">
        <v>922</v>
      </c>
      <c r="C101" s="435" t="s">
        <v>923</v>
      </c>
      <c r="D101" s="468" t="s">
        <v>6</v>
      </c>
      <c r="E101" s="12">
        <v>80</v>
      </c>
      <c r="F101" s="642"/>
      <c r="G101" s="640">
        <f t="shared" si="7"/>
        <v>0</v>
      </c>
      <c r="H101" s="36"/>
      <c r="J101" s="56"/>
      <c r="K101" s="38"/>
      <c r="L101" s="80"/>
      <c r="M101" s="80"/>
    </row>
    <row r="102" spans="2:13" s="30" customFormat="1" ht="12.6" customHeight="1" x14ac:dyDescent="0.2">
      <c r="B102" s="464"/>
      <c r="C102" s="517"/>
      <c r="D102" s="467"/>
      <c r="E102" s="222"/>
      <c r="F102" s="642"/>
      <c r="G102" s="640" t="str">
        <f t="shared" si="7"/>
        <v/>
      </c>
      <c r="H102" s="36"/>
      <c r="J102" s="56"/>
      <c r="K102" s="38"/>
      <c r="L102" s="80"/>
      <c r="M102" s="80"/>
    </row>
    <row r="103" spans="2:13" s="30" customFormat="1" ht="12.6" customHeight="1" x14ac:dyDescent="0.2">
      <c r="B103" s="465" t="s">
        <v>924</v>
      </c>
      <c r="C103" s="128" t="s">
        <v>925</v>
      </c>
      <c r="D103" s="555" t="s">
        <v>926</v>
      </c>
      <c r="E103" s="12">
        <v>24</v>
      </c>
      <c r="F103" s="642"/>
      <c r="G103" s="640">
        <f t="shared" si="7"/>
        <v>0</v>
      </c>
      <c r="H103" s="36"/>
      <c r="J103" s="56"/>
      <c r="K103" s="38"/>
      <c r="L103" s="80"/>
      <c r="M103" s="80"/>
    </row>
    <row r="104" spans="2:13" s="30" customFormat="1" ht="12.6" customHeight="1" x14ac:dyDescent="0.2">
      <c r="B104" s="464"/>
      <c r="C104" s="517"/>
      <c r="D104" s="467"/>
      <c r="E104" s="222"/>
      <c r="F104" s="643"/>
      <c r="G104" s="640" t="str">
        <f t="shared" si="7"/>
        <v/>
      </c>
      <c r="H104" s="36"/>
      <c r="J104" s="56"/>
      <c r="K104" s="38"/>
      <c r="L104" s="80"/>
      <c r="M104" s="80"/>
    </row>
    <row r="105" spans="2:13" s="30" customFormat="1" ht="12.6" customHeight="1" x14ac:dyDescent="0.2">
      <c r="B105" s="465" t="s">
        <v>927</v>
      </c>
      <c r="C105" s="128" t="s">
        <v>109</v>
      </c>
      <c r="D105" s="557"/>
      <c r="E105" s="12"/>
      <c r="F105" s="643"/>
      <c r="G105" s="640" t="str">
        <f t="shared" si="7"/>
        <v/>
      </c>
      <c r="H105" s="36"/>
      <c r="J105" s="56"/>
      <c r="K105" s="38"/>
      <c r="L105" s="80"/>
      <c r="M105" s="80"/>
    </row>
    <row r="106" spans="2:13" s="30" customFormat="1" ht="12.6" customHeight="1" x14ac:dyDescent="0.2">
      <c r="B106" s="465"/>
      <c r="C106" s="128"/>
      <c r="D106" s="557"/>
      <c r="E106" s="12"/>
      <c r="F106" s="643"/>
      <c r="G106" s="640" t="str">
        <f t="shared" si="7"/>
        <v/>
      </c>
      <c r="H106" s="36"/>
      <c r="J106" s="56"/>
      <c r="K106" s="38"/>
      <c r="L106" s="80"/>
      <c r="M106" s="80"/>
    </row>
    <row r="107" spans="2:13" s="30" customFormat="1" ht="12.6" customHeight="1" x14ac:dyDescent="0.2">
      <c r="B107" s="464" t="s">
        <v>928</v>
      </c>
      <c r="C107" s="84" t="s">
        <v>929</v>
      </c>
      <c r="D107" s="558" t="s">
        <v>930</v>
      </c>
      <c r="E107" s="222">
        <v>0.6</v>
      </c>
      <c r="F107" s="643"/>
      <c r="G107" s="640">
        <f t="shared" si="7"/>
        <v>0</v>
      </c>
      <c r="H107" s="36"/>
      <c r="J107" s="56"/>
      <c r="K107" s="38"/>
      <c r="L107" s="80"/>
      <c r="M107" s="80"/>
    </row>
    <row r="108" spans="2:13" s="30" customFormat="1" ht="12.6" customHeight="1" x14ac:dyDescent="0.2">
      <c r="B108" s="553"/>
      <c r="C108" s="549"/>
      <c r="D108" s="558"/>
      <c r="E108" s="222"/>
      <c r="F108" s="643"/>
      <c r="G108" s="640" t="str">
        <f t="shared" si="7"/>
        <v/>
      </c>
      <c r="H108" s="36"/>
      <c r="J108" s="56"/>
      <c r="K108" s="38"/>
      <c r="L108" s="80"/>
      <c r="M108" s="80"/>
    </row>
    <row r="109" spans="2:13" s="30" customFormat="1" ht="12.6" customHeight="1" x14ac:dyDescent="0.2">
      <c r="B109" s="464" t="s">
        <v>931</v>
      </c>
      <c r="C109" s="84" t="s">
        <v>703</v>
      </c>
      <c r="D109" s="558" t="s">
        <v>24</v>
      </c>
      <c r="E109" s="222">
        <v>280</v>
      </c>
      <c r="F109" s="643"/>
      <c r="G109" s="640">
        <f t="shared" si="7"/>
        <v>0</v>
      </c>
      <c r="H109" s="36"/>
      <c r="J109" s="56"/>
      <c r="K109" s="38"/>
      <c r="L109" s="80"/>
      <c r="M109" s="80"/>
    </row>
    <row r="110" spans="2:13" s="30" customFormat="1" ht="12.6" customHeight="1" x14ac:dyDescent="0.2">
      <c r="B110" s="553"/>
      <c r="C110" s="549"/>
      <c r="D110" s="558"/>
      <c r="E110" s="222"/>
      <c r="F110" s="643"/>
      <c r="G110" s="640" t="str">
        <f t="shared" si="7"/>
        <v/>
      </c>
      <c r="H110" s="36"/>
      <c r="J110" s="56"/>
      <c r="K110" s="38"/>
      <c r="L110" s="80"/>
      <c r="M110" s="80"/>
    </row>
    <row r="111" spans="2:13" s="30" customFormat="1" ht="12.6" customHeight="1" x14ac:dyDescent="0.2">
      <c r="B111" s="465" t="s">
        <v>932</v>
      </c>
      <c r="C111" s="435" t="s">
        <v>933</v>
      </c>
      <c r="D111" s="555" t="s">
        <v>6</v>
      </c>
      <c r="E111" s="12">
        <v>600</v>
      </c>
      <c r="F111" s="642"/>
      <c r="G111" s="640">
        <f t="shared" si="7"/>
        <v>0</v>
      </c>
      <c r="H111" s="36"/>
      <c r="J111" s="56"/>
      <c r="K111" s="38"/>
      <c r="L111" s="80"/>
      <c r="M111" s="80"/>
    </row>
    <row r="112" spans="2:13" s="30" customFormat="1" ht="12.6" customHeight="1" x14ac:dyDescent="0.2">
      <c r="B112" s="553"/>
      <c r="C112" s="549"/>
      <c r="D112" s="553"/>
      <c r="E112" s="222"/>
      <c r="F112" s="643"/>
      <c r="G112" s="640" t="str">
        <f t="shared" si="7"/>
        <v/>
      </c>
      <c r="H112" s="36"/>
      <c r="J112" s="56"/>
      <c r="K112" s="38"/>
      <c r="L112" s="80"/>
      <c r="M112" s="80"/>
    </row>
    <row r="113" spans="2:13" s="30" customFormat="1" ht="12.6" customHeight="1" x14ac:dyDescent="0.2">
      <c r="B113" s="465" t="s">
        <v>934</v>
      </c>
      <c r="C113" s="128" t="s">
        <v>935</v>
      </c>
      <c r="D113" s="557"/>
      <c r="E113" s="12"/>
      <c r="F113" s="643"/>
      <c r="G113" s="640" t="str">
        <f t="shared" si="7"/>
        <v/>
      </c>
      <c r="H113" s="36"/>
      <c r="J113" s="56"/>
      <c r="K113" s="38"/>
      <c r="L113" s="80"/>
      <c r="M113" s="80"/>
    </row>
    <row r="114" spans="2:13" s="30" customFormat="1" ht="12.6" customHeight="1" x14ac:dyDescent="0.2">
      <c r="B114" s="553"/>
      <c r="C114" s="549"/>
      <c r="D114" s="553"/>
      <c r="E114" s="222"/>
      <c r="F114" s="641"/>
      <c r="G114" s="640" t="str">
        <f t="shared" si="7"/>
        <v/>
      </c>
      <c r="H114" s="36"/>
      <c r="J114" s="56"/>
      <c r="K114" s="38"/>
      <c r="L114" s="80"/>
      <c r="M114" s="80"/>
    </row>
    <row r="115" spans="2:13" s="30" customFormat="1" ht="12.6" customHeight="1" x14ac:dyDescent="0.2">
      <c r="B115" s="464" t="s">
        <v>936</v>
      </c>
      <c r="C115" s="84" t="s">
        <v>937</v>
      </c>
      <c r="D115" s="558" t="s">
        <v>33</v>
      </c>
      <c r="E115" s="222">
        <v>60</v>
      </c>
      <c r="F115" s="641"/>
      <c r="G115" s="640">
        <f t="shared" si="7"/>
        <v>0</v>
      </c>
      <c r="H115" s="36"/>
      <c r="J115" s="56"/>
      <c r="K115" s="38"/>
      <c r="L115" s="80"/>
      <c r="M115" s="80"/>
    </row>
    <row r="116" spans="2:13" s="30" customFormat="1" ht="12.6" customHeight="1" x14ac:dyDescent="0.2">
      <c r="B116" s="553"/>
      <c r="C116" s="549"/>
      <c r="D116" s="553"/>
      <c r="E116" s="222"/>
      <c r="F116" s="641"/>
      <c r="G116" s="640" t="str">
        <f t="shared" si="7"/>
        <v/>
      </c>
      <c r="H116" s="36"/>
      <c r="J116" s="56"/>
      <c r="K116" s="38"/>
      <c r="L116" s="80"/>
      <c r="M116" s="80"/>
    </row>
    <row r="117" spans="2:13" s="30" customFormat="1" ht="12.6" customHeight="1" x14ac:dyDescent="0.2">
      <c r="B117" s="464" t="s">
        <v>938</v>
      </c>
      <c r="C117" s="84" t="s">
        <v>939</v>
      </c>
      <c r="D117" s="469" t="s">
        <v>51</v>
      </c>
      <c r="E117" s="222">
        <v>15</v>
      </c>
      <c r="F117" s="638"/>
      <c r="G117" s="640">
        <f t="shared" si="7"/>
        <v>0</v>
      </c>
      <c r="H117" s="36"/>
      <c r="J117" s="56"/>
      <c r="K117" s="38"/>
      <c r="L117" s="80"/>
      <c r="M117" s="80"/>
    </row>
    <row r="118" spans="2:13" s="30" customFormat="1" ht="12.6" customHeight="1" x14ac:dyDescent="0.2">
      <c r="B118" s="464"/>
      <c r="C118" s="84"/>
      <c r="D118" s="469"/>
      <c r="E118" s="222"/>
      <c r="F118" s="638"/>
      <c r="G118" s="640" t="str">
        <f t="shared" si="7"/>
        <v/>
      </c>
      <c r="H118" s="36"/>
      <c r="J118" s="56"/>
      <c r="K118" s="38"/>
      <c r="L118" s="80"/>
      <c r="M118" s="80"/>
    </row>
    <row r="119" spans="2:13" s="30" customFormat="1" ht="12.6" customHeight="1" x14ac:dyDescent="0.2">
      <c r="B119" s="465" t="s">
        <v>940</v>
      </c>
      <c r="C119" s="128" t="s">
        <v>941</v>
      </c>
      <c r="D119" s="555" t="s">
        <v>926</v>
      </c>
      <c r="E119" s="12">
        <v>6</v>
      </c>
      <c r="F119" s="638"/>
      <c r="G119" s="640">
        <f t="shared" si="7"/>
        <v>0</v>
      </c>
      <c r="H119" s="36"/>
      <c r="J119" s="56"/>
      <c r="K119" s="38"/>
      <c r="L119" s="80"/>
      <c r="M119" s="80"/>
    </row>
    <row r="120" spans="2:13" s="30" customFormat="1" ht="12.6" customHeight="1" x14ac:dyDescent="0.2">
      <c r="B120" s="124"/>
      <c r="D120" s="470"/>
      <c r="E120" s="257"/>
      <c r="F120" s="638"/>
      <c r="G120" s="640" t="str">
        <f t="shared" si="7"/>
        <v/>
      </c>
      <c r="H120" s="36"/>
      <c r="J120" s="56"/>
      <c r="K120" s="38"/>
      <c r="L120" s="80"/>
      <c r="M120" s="80"/>
    </row>
    <row r="121" spans="2:13" s="30" customFormat="1" ht="12.6" customHeight="1" x14ac:dyDescent="0.2">
      <c r="B121" s="124"/>
      <c r="D121" s="470"/>
      <c r="E121" s="257"/>
      <c r="F121" s="638"/>
      <c r="G121" s="640"/>
      <c r="H121" s="36"/>
      <c r="J121" s="56"/>
      <c r="K121" s="38"/>
      <c r="L121" s="80"/>
      <c r="M121" s="80"/>
    </row>
    <row r="122" spans="2:13" s="30" customFormat="1" ht="12.6" customHeight="1" x14ac:dyDescent="0.2">
      <c r="B122" s="124"/>
      <c r="D122" s="470"/>
      <c r="E122" s="257"/>
      <c r="F122" s="638"/>
      <c r="G122" s="640"/>
      <c r="H122" s="36"/>
      <c r="J122" s="56"/>
      <c r="K122" s="38"/>
      <c r="L122" s="80"/>
      <c r="M122" s="80"/>
    </row>
    <row r="123" spans="2:13" s="30" customFormat="1" ht="12.6" customHeight="1" x14ac:dyDescent="0.2">
      <c r="B123" s="124"/>
      <c r="D123" s="470"/>
      <c r="E123" s="257"/>
      <c r="F123" s="638"/>
      <c r="G123" s="640"/>
      <c r="H123" s="36"/>
      <c r="J123" s="56"/>
      <c r="K123" s="38"/>
      <c r="L123" s="80"/>
      <c r="M123" s="80"/>
    </row>
    <row r="124" spans="2:13" s="30" customFormat="1" ht="12.6" customHeight="1" x14ac:dyDescent="0.2">
      <c r="B124" s="124"/>
      <c r="D124" s="470"/>
      <c r="E124" s="257"/>
      <c r="F124" s="638"/>
      <c r="G124" s="640"/>
      <c r="H124" s="36"/>
      <c r="J124" s="56"/>
      <c r="K124" s="38"/>
      <c r="L124" s="80"/>
      <c r="M124" s="80"/>
    </row>
    <row r="125" spans="2:13" s="30" customFormat="1" ht="12.6" customHeight="1" x14ac:dyDescent="0.2">
      <c r="B125" s="124"/>
      <c r="D125" s="470"/>
      <c r="E125" s="257"/>
      <c r="F125" s="638"/>
      <c r="G125" s="640"/>
      <c r="H125" s="36"/>
      <c r="J125" s="56"/>
      <c r="K125" s="38"/>
      <c r="L125" s="80"/>
      <c r="M125" s="80"/>
    </row>
    <row r="126" spans="2:13" s="30" customFormat="1" ht="12.6" customHeight="1" x14ac:dyDescent="0.2">
      <c r="B126" s="124"/>
      <c r="D126" s="470"/>
      <c r="E126" s="257"/>
      <c r="F126" s="638"/>
      <c r="G126" s="640"/>
      <c r="H126" s="36"/>
      <c r="J126" s="56"/>
      <c r="K126" s="38"/>
      <c r="L126" s="80"/>
      <c r="M126" s="80"/>
    </row>
    <row r="127" spans="2:13" s="30" customFormat="1" ht="12.6" customHeight="1" x14ac:dyDescent="0.2">
      <c r="B127" s="124"/>
      <c r="D127" s="470"/>
      <c r="E127" s="257"/>
      <c r="F127" s="638"/>
      <c r="G127" s="640"/>
      <c r="H127" s="36"/>
      <c r="J127" s="56"/>
      <c r="K127" s="38"/>
      <c r="L127" s="80"/>
      <c r="M127" s="80"/>
    </row>
    <row r="128" spans="2:13" s="30" customFormat="1" ht="12.6" customHeight="1" x14ac:dyDescent="0.2">
      <c r="B128" s="124"/>
      <c r="D128" s="470"/>
      <c r="E128" s="257"/>
      <c r="F128" s="638"/>
      <c r="G128" s="640"/>
      <c r="H128" s="36"/>
      <c r="J128" s="56"/>
      <c r="K128" s="38"/>
      <c r="L128" s="80"/>
      <c r="M128" s="80"/>
    </row>
    <row r="129" spans="2:13" s="30" customFormat="1" ht="12.6" customHeight="1" x14ac:dyDescent="0.2">
      <c r="B129" s="124"/>
      <c r="D129" s="470"/>
      <c r="E129" s="257"/>
      <c r="F129" s="638"/>
      <c r="G129" s="640"/>
      <c r="H129" s="36"/>
      <c r="J129" s="56"/>
      <c r="K129" s="38"/>
      <c r="L129" s="80"/>
      <c r="M129" s="80"/>
    </row>
    <row r="130" spans="2:13" s="30" customFormat="1" ht="12.6" customHeight="1" x14ac:dyDescent="0.2">
      <c r="B130" s="124"/>
      <c r="D130" s="470"/>
      <c r="E130" s="257"/>
      <c r="F130" s="638"/>
      <c r="G130" s="640"/>
      <c r="H130" s="36"/>
      <c r="J130" s="56"/>
      <c r="K130" s="38"/>
      <c r="L130" s="80"/>
      <c r="M130" s="80"/>
    </row>
    <row r="131" spans="2:13" s="30" customFormat="1" ht="12.6" customHeight="1" x14ac:dyDescent="0.2">
      <c r="B131" s="124"/>
      <c r="D131" s="470"/>
      <c r="E131" s="257"/>
      <c r="F131" s="638"/>
      <c r="G131" s="640"/>
      <c r="H131" s="36"/>
      <c r="J131" s="56"/>
      <c r="K131" s="38"/>
      <c r="L131" s="80"/>
      <c r="M131" s="80"/>
    </row>
    <row r="132" spans="2:13" s="30" customFormat="1" ht="12.6" customHeight="1" x14ac:dyDescent="0.2">
      <c r="B132" s="124"/>
      <c r="D132" s="470"/>
      <c r="E132" s="257"/>
      <c r="F132" s="638"/>
      <c r="G132" s="640"/>
      <c r="H132" s="36"/>
      <c r="J132" s="56"/>
      <c r="K132" s="38"/>
      <c r="L132" s="80"/>
      <c r="M132" s="80"/>
    </row>
    <row r="133" spans="2:13" s="30" customFormat="1" ht="12.6" customHeight="1" x14ac:dyDescent="0.2">
      <c r="B133" s="124"/>
      <c r="D133" s="470"/>
      <c r="E133" s="257"/>
      <c r="F133" s="638"/>
      <c r="G133" s="640"/>
      <c r="H133" s="36"/>
      <c r="J133" s="56"/>
      <c r="K133" s="38"/>
      <c r="L133" s="80"/>
      <c r="M133" s="80"/>
    </row>
    <row r="134" spans="2:13" s="30" customFormat="1" ht="12.6" customHeight="1" x14ac:dyDescent="0.2">
      <c r="B134" s="124"/>
      <c r="D134" s="470"/>
      <c r="E134" s="257"/>
      <c r="F134" s="638"/>
      <c r="G134" s="640"/>
      <c r="H134" s="36"/>
      <c r="J134" s="56"/>
      <c r="K134" s="38"/>
      <c r="L134" s="80"/>
      <c r="M134" s="80"/>
    </row>
    <row r="135" spans="2:13" s="30" customFormat="1" ht="12.6" customHeight="1" x14ac:dyDescent="0.2">
      <c r="B135" s="124"/>
      <c r="D135" s="470"/>
      <c r="E135" s="257"/>
      <c r="F135" s="638"/>
      <c r="G135" s="640"/>
      <c r="H135" s="36"/>
      <c r="J135" s="56"/>
      <c r="K135" s="38"/>
      <c r="L135" s="80"/>
      <c r="M135" s="80"/>
    </row>
    <row r="136" spans="2:13" s="30" customFormat="1" ht="12.6" customHeight="1" x14ac:dyDescent="0.2">
      <c r="B136" s="124"/>
      <c r="D136" s="470"/>
      <c r="E136" s="257"/>
      <c r="F136" s="638"/>
      <c r="G136" s="640"/>
      <c r="H136" s="36"/>
      <c r="J136" s="56"/>
      <c r="K136" s="38"/>
      <c r="L136" s="80"/>
      <c r="M136" s="80"/>
    </row>
    <row r="137" spans="2:13" s="30" customFormat="1" ht="12.6" customHeight="1" x14ac:dyDescent="0.2">
      <c r="B137" s="466"/>
      <c r="C137" s="475"/>
      <c r="D137" s="471"/>
      <c r="E137" s="476"/>
      <c r="F137" s="644"/>
      <c r="G137" s="645"/>
      <c r="H137" s="36"/>
      <c r="J137" s="56"/>
      <c r="K137" s="38"/>
      <c r="L137" s="80"/>
      <c r="M137" s="80"/>
    </row>
    <row r="138" spans="2:13" s="30" customFormat="1" ht="27" customHeight="1" x14ac:dyDescent="0.2">
      <c r="B138" s="121" t="str">
        <f>$B$11</f>
        <v>C3.3</v>
      </c>
      <c r="C138" s="32" t="str">
        <f>"TOTAL CARRIED FORWARD"&amp;IF(G138=G$1," TO SUMMARY (Page C"&amp;Page_A&amp;")","")</f>
        <v>TOTAL CARRIED FORWARD TO SUMMARY (Page C49)</v>
      </c>
      <c r="D138" s="33"/>
      <c r="E138" s="34"/>
      <c r="F138" s="33"/>
      <c r="G138" s="352">
        <f>SUM(G71:G137)</f>
        <v>0</v>
      </c>
      <c r="H138" s="36"/>
      <c r="J138" s="56"/>
      <c r="K138" s="38">
        <f>SUM(K100:K137)</f>
        <v>0</v>
      </c>
      <c r="L138" s="80"/>
      <c r="M138" s="80"/>
    </row>
    <row r="139" spans="2:13" s="30" customFormat="1" ht="12.6" customHeight="1" x14ac:dyDescent="0.2">
      <c r="B139" s="462"/>
      <c r="D139" s="463"/>
      <c r="E139" s="257"/>
      <c r="F139" s="463"/>
      <c r="G139" s="42"/>
      <c r="H139" s="36"/>
      <c r="J139" s="56"/>
      <c r="K139" s="38"/>
      <c r="L139" s="80"/>
      <c r="M139" s="80"/>
    </row>
    <row r="140" spans="2:13" s="30" customFormat="1" ht="12.6" customHeight="1" x14ac:dyDescent="0.2">
      <c r="B140" s="462"/>
      <c r="D140" s="463"/>
      <c r="E140" s="257"/>
      <c r="F140" s="463"/>
      <c r="G140" s="42"/>
      <c r="H140" s="36"/>
      <c r="J140" s="56"/>
      <c r="K140" s="38"/>
      <c r="L140" s="80"/>
      <c r="M140" s="80"/>
    </row>
    <row r="141" spans="2:13" s="30" customFormat="1" ht="12.6" customHeight="1" x14ac:dyDescent="0.2">
      <c r="B141" s="462"/>
      <c r="D141" s="463"/>
      <c r="E141" s="257"/>
      <c r="F141" s="463"/>
      <c r="G141" s="42"/>
      <c r="H141" s="36"/>
      <c r="J141" s="56"/>
      <c r="K141" s="38"/>
      <c r="L141" s="80"/>
      <c r="M141" s="80"/>
    </row>
    <row r="142" spans="2:13" s="30" customFormat="1" ht="12.6" customHeight="1" x14ac:dyDescent="0.2">
      <c r="B142" s="462"/>
      <c r="D142" s="463"/>
      <c r="E142" s="257"/>
      <c r="F142" s="463"/>
      <c r="G142" s="42"/>
      <c r="H142" s="36"/>
      <c r="J142" s="56"/>
      <c r="K142" s="38"/>
      <c r="L142" s="80"/>
      <c r="M142" s="80"/>
    </row>
    <row r="143" spans="2:13" s="30" customFormat="1" ht="12.6" customHeight="1" x14ac:dyDescent="0.2">
      <c r="B143" s="462"/>
      <c r="D143" s="463"/>
      <c r="E143" s="257"/>
      <c r="F143" s="463"/>
      <c r="G143" s="42"/>
      <c r="H143" s="36"/>
      <c r="J143" s="56"/>
      <c r="K143" s="38"/>
      <c r="L143" s="80"/>
      <c r="M143" s="80"/>
    </row>
    <row r="144" spans="2:13" s="30" customFormat="1" ht="12.6" customHeight="1" x14ac:dyDescent="0.2">
      <c r="B144" s="462"/>
      <c r="D144" s="463"/>
      <c r="E144" s="257"/>
      <c r="F144" s="463"/>
      <c r="G144" s="42"/>
      <c r="H144" s="36"/>
      <c r="J144" s="56"/>
      <c r="K144" s="38"/>
      <c r="L144" s="80"/>
      <c r="M144" s="80"/>
    </row>
    <row r="145" spans="2:13" s="30" customFormat="1" ht="12.6" customHeight="1" x14ac:dyDescent="0.2">
      <c r="B145" s="462"/>
      <c r="D145" s="463"/>
      <c r="E145" s="257"/>
      <c r="F145" s="463"/>
      <c r="G145" s="42"/>
      <c r="H145" s="36"/>
      <c r="J145" s="56"/>
      <c r="K145" s="38"/>
      <c r="L145" s="80"/>
      <c r="M145" s="80"/>
    </row>
    <row r="146" spans="2:13" s="30" customFormat="1" ht="12.6" customHeight="1" x14ac:dyDescent="0.2">
      <c r="B146" s="462"/>
      <c r="D146" s="463"/>
      <c r="E146" s="257"/>
      <c r="F146" s="463"/>
      <c r="G146" s="42"/>
      <c r="H146" s="36"/>
      <c r="J146" s="56"/>
      <c r="K146" s="38"/>
      <c r="L146" s="80"/>
      <c r="M146" s="80"/>
    </row>
    <row r="147" spans="2:13" s="30" customFormat="1" ht="12.6" customHeight="1" x14ac:dyDescent="0.2">
      <c r="B147" s="462"/>
      <c r="D147" s="463"/>
      <c r="E147" s="257"/>
      <c r="F147" s="463"/>
      <c r="G147" s="42"/>
      <c r="H147" s="36"/>
      <c r="J147" s="56"/>
      <c r="K147" s="38"/>
      <c r="L147" s="80"/>
      <c r="M147" s="80"/>
    </row>
    <row r="148" spans="2:13" s="30" customFormat="1" ht="12.6" customHeight="1" x14ac:dyDescent="0.2">
      <c r="B148" s="462"/>
      <c r="D148" s="463"/>
      <c r="E148" s="257"/>
      <c r="F148" s="463"/>
      <c r="G148" s="42"/>
      <c r="H148" s="36"/>
      <c r="J148" s="56"/>
      <c r="K148" s="38"/>
      <c r="L148" s="80"/>
      <c r="M148" s="80"/>
    </row>
    <row r="149" spans="2:13" s="30" customFormat="1" ht="12.6" customHeight="1" x14ac:dyDescent="0.2">
      <c r="B149" s="462"/>
      <c r="D149" s="463"/>
      <c r="E149" s="257"/>
      <c r="F149" s="463"/>
      <c r="G149" s="42"/>
      <c r="H149" s="36"/>
      <c r="J149" s="56"/>
      <c r="K149" s="38"/>
      <c r="L149" s="80"/>
      <c r="M149" s="80"/>
    </row>
    <row r="150" spans="2:13" s="30" customFormat="1" ht="12.6" customHeight="1" x14ac:dyDescent="0.2">
      <c r="B150" s="462"/>
      <c r="D150" s="463"/>
      <c r="E150" s="257"/>
      <c r="F150" s="463"/>
      <c r="G150" s="42"/>
      <c r="H150" s="36"/>
      <c r="J150" s="56"/>
      <c r="K150" s="38"/>
      <c r="L150" s="80"/>
      <c r="M150" s="80"/>
    </row>
    <row r="151" spans="2:13" s="30" customFormat="1" ht="12.6" customHeight="1" x14ac:dyDescent="0.2">
      <c r="B151" s="462"/>
      <c r="D151" s="463"/>
      <c r="E151" s="257"/>
      <c r="F151" s="463"/>
      <c r="G151" s="42"/>
      <c r="H151" s="36"/>
      <c r="J151" s="56"/>
      <c r="K151" s="38"/>
      <c r="L151" s="80"/>
      <c r="M151" s="80"/>
    </row>
    <row r="152" spans="2:13" s="30" customFormat="1" ht="19.5" customHeight="1" x14ac:dyDescent="0.2">
      <c r="B152" s="462"/>
      <c r="D152" s="463"/>
      <c r="E152" s="257"/>
      <c r="F152" s="463"/>
      <c r="G152" s="42"/>
      <c r="H152" s="36"/>
      <c r="J152" s="56"/>
      <c r="K152" s="38"/>
      <c r="L152" s="80"/>
      <c r="M152" s="80"/>
    </row>
    <row r="153" spans="2:13" s="30" customFormat="1" ht="19.5" customHeight="1" x14ac:dyDescent="0.2">
      <c r="B153" s="462"/>
      <c r="D153" s="463"/>
      <c r="E153" s="257"/>
      <c r="F153" s="463"/>
      <c r="G153" s="42"/>
      <c r="H153" s="36"/>
      <c r="J153" s="56"/>
      <c r="K153" s="38"/>
      <c r="L153" s="80"/>
      <c r="M153" s="80"/>
    </row>
    <row r="154" spans="2:13" s="30" customFormat="1" ht="19.5" customHeight="1" x14ac:dyDescent="0.2">
      <c r="B154" s="462"/>
      <c r="D154" s="463"/>
      <c r="E154" s="257"/>
      <c r="F154" s="463"/>
      <c r="G154" s="42"/>
      <c r="H154" s="36"/>
      <c r="J154" s="56"/>
      <c r="K154" s="38"/>
      <c r="L154" s="80"/>
      <c r="M154" s="80"/>
    </row>
    <row r="155" spans="2:13" s="30" customFormat="1" ht="19.5" customHeight="1" x14ac:dyDescent="0.2">
      <c r="B155" s="462"/>
      <c r="D155" s="463"/>
      <c r="E155" s="257"/>
      <c r="F155" s="463"/>
      <c r="G155" s="42"/>
      <c r="H155" s="36"/>
      <c r="J155" s="56"/>
      <c r="K155" s="38"/>
      <c r="L155" s="80"/>
      <c r="M155" s="80"/>
    </row>
    <row r="156" spans="2:13" s="30" customFormat="1" ht="19.5" customHeight="1" x14ac:dyDescent="0.2">
      <c r="B156" s="462"/>
      <c r="D156" s="463"/>
      <c r="E156" s="257"/>
      <c r="F156" s="463"/>
      <c r="G156" s="42"/>
      <c r="H156" s="36"/>
      <c r="J156" s="56"/>
      <c r="K156" s="38"/>
      <c r="L156" s="80"/>
      <c r="M156" s="80"/>
    </row>
    <row r="157" spans="2:13" s="30" customFormat="1" ht="19.5" customHeight="1" x14ac:dyDescent="0.2">
      <c r="B157" s="462"/>
      <c r="D157" s="463"/>
      <c r="E157" s="257"/>
      <c r="F157" s="463"/>
      <c r="G157" s="42"/>
      <c r="H157" s="36"/>
      <c r="J157" s="56"/>
      <c r="K157" s="38"/>
      <c r="L157" s="80"/>
      <c r="M157" s="80"/>
    </row>
    <row r="158" spans="2:13" s="30" customFormat="1" ht="19.5" customHeight="1" x14ac:dyDescent="0.2">
      <c r="B158" s="462"/>
      <c r="D158" s="463"/>
      <c r="E158" s="257"/>
      <c r="F158" s="463"/>
      <c r="G158" s="42"/>
      <c r="H158" s="36"/>
      <c r="J158" s="56"/>
      <c r="K158" s="38"/>
      <c r="L158" s="80"/>
      <c r="M158" s="80"/>
    </row>
    <row r="159" spans="2:13" s="30" customFormat="1" ht="19.5" customHeight="1" x14ac:dyDescent="0.2">
      <c r="B159" s="462"/>
      <c r="D159" s="463"/>
      <c r="E159" s="257"/>
      <c r="F159" s="463"/>
      <c r="G159" s="42"/>
      <c r="H159" s="36"/>
      <c r="J159" s="56"/>
      <c r="K159" s="38"/>
      <c r="L159" s="80"/>
      <c r="M159" s="80"/>
    </row>
    <row r="160" spans="2:13" s="30" customFormat="1" ht="19.5" customHeight="1" x14ac:dyDescent="0.2">
      <c r="B160" s="462"/>
      <c r="D160" s="463"/>
      <c r="E160" s="257"/>
      <c r="F160" s="463"/>
      <c r="G160" s="42"/>
      <c r="H160" s="36"/>
      <c r="J160" s="56"/>
      <c r="K160" s="38"/>
      <c r="L160" s="80"/>
      <c r="M160" s="80"/>
    </row>
    <row r="161" spans="2:13" s="30" customFormat="1" ht="19.5" customHeight="1" x14ac:dyDescent="0.2">
      <c r="B161" s="462"/>
      <c r="D161" s="463"/>
      <c r="E161" s="257"/>
      <c r="F161" s="463"/>
      <c r="G161" s="42"/>
      <c r="H161" s="36"/>
      <c r="J161" s="56"/>
      <c r="K161" s="38"/>
      <c r="L161" s="80"/>
      <c r="M161" s="80"/>
    </row>
    <row r="162" spans="2:13" s="30" customFormat="1" ht="19.5" customHeight="1" x14ac:dyDescent="0.2">
      <c r="B162" s="462"/>
      <c r="D162" s="463"/>
      <c r="E162" s="257"/>
      <c r="F162" s="463"/>
      <c r="G162" s="42"/>
      <c r="H162" s="36"/>
      <c r="J162" s="56"/>
      <c r="K162" s="38"/>
      <c r="L162" s="80"/>
      <c r="M162" s="80"/>
    </row>
    <row r="163" spans="2:13" s="30" customFormat="1" ht="19.5" customHeight="1" x14ac:dyDescent="0.2">
      <c r="B163" s="462"/>
      <c r="D163" s="463"/>
      <c r="E163" s="257"/>
      <c r="F163" s="463"/>
      <c r="G163" s="42"/>
      <c r="H163" s="36"/>
      <c r="J163" s="56"/>
      <c r="K163" s="38"/>
      <c r="L163" s="80"/>
      <c r="M163" s="80"/>
    </row>
    <row r="164" spans="2:13" s="30" customFormat="1" ht="19.5" customHeight="1" x14ac:dyDescent="0.2">
      <c r="B164" s="462"/>
      <c r="D164" s="463"/>
      <c r="E164" s="257"/>
      <c r="F164" s="463"/>
      <c r="G164" s="42"/>
      <c r="H164" s="36"/>
      <c r="J164" s="56"/>
      <c r="K164" s="38"/>
      <c r="L164" s="80"/>
      <c r="M164" s="80"/>
    </row>
    <row r="165" spans="2:13" s="30" customFormat="1" ht="19.5" customHeight="1" x14ac:dyDescent="0.2">
      <c r="B165" s="462"/>
      <c r="D165" s="463"/>
      <c r="E165" s="257"/>
      <c r="F165" s="463"/>
      <c r="G165" s="42"/>
      <c r="H165" s="36"/>
      <c r="J165" s="56"/>
      <c r="K165" s="38"/>
      <c r="L165" s="80"/>
      <c r="M165" s="80"/>
    </row>
    <row r="166" spans="2:13" s="30" customFormat="1" ht="19.5" customHeight="1" x14ac:dyDescent="0.2">
      <c r="B166" s="462"/>
      <c r="D166" s="463"/>
      <c r="E166" s="257"/>
      <c r="F166" s="463"/>
      <c r="G166" s="42"/>
      <c r="H166" s="36"/>
      <c r="J166" s="56"/>
      <c r="K166" s="38"/>
      <c r="L166" s="80"/>
      <c r="M166" s="80"/>
    </row>
    <row r="167" spans="2:13" s="30" customFormat="1" ht="19.5" customHeight="1" x14ac:dyDescent="0.2">
      <c r="B167" s="462"/>
      <c r="D167" s="463"/>
      <c r="E167" s="257"/>
      <c r="F167" s="463"/>
      <c r="G167" s="42"/>
      <c r="H167" s="36"/>
      <c r="J167" s="56"/>
      <c r="K167" s="38"/>
      <c r="L167" s="80"/>
      <c r="M167" s="80"/>
    </row>
    <row r="168" spans="2:13" s="30" customFormat="1" ht="19.5" customHeight="1" x14ac:dyDescent="0.2">
      <c r="B168" s="462"/>
      <c r="D168" s="463"/>
      <c r="E168" s="257"/>
      <c r="F168" s="463"/>
      <c r="G168" s="42"/>
      <c r="H168" s="36"/>
      <c r="J168" s="56"/>
      <c r="K168" s="38"/>
      <c r="L168" s="80"/>
      <c r="M168" s="80"/>
    </row>
    <row r="169" spans="2:13" s="30" customFormat="1" ht="19.5" customHeight="1" x14ac:dyDescent="0.2">
      <c r="B169" s="462"/>
      <c r="D169" s="463"/>
      <c r="E169" s="257"/>
      <c r="F169" s="463"/>
      <c r="G169" s="42"/>
      <c r="H169" s="36"/>
      <c r="J169" s="56"/>
      <c r="K169" s="38"/>
      <c r="L169" s="80"/>
      <c r="M169" s="80"/>
    </row>
    <row r="170" spans="2:13" s="30" customFormat="1" ht="19.5" customHeight="1" x14ac:dyDescent="0.2">
      <c r="B170" s="462"/>
      <c r="D170" s="463"/>
      <c r="E170" s="257"/>
      <c r="F170" s="463"/>
      <c r="G170" s="42"/>
      <c r="H170" s="36"/>
      <c r="J170" s="56"/>
      <c r="K170" s="38"/>
      <c r="L170" s="80"/>
      <c r="M170" s="80"/>
    </row>
    <row r="171" spans="2:13" s="30" customFormat="1" ht="19.5" customHeight="1" x14ac:dyDescent="0.2">
      <c r="B171" s="462"/>
      <c r="D171" s="463"/>
      <c r="E171" s="257"/>
      <c r="F171" s="463"/>
      <c r="G171" s="42"/>
      <c r="H171" s="36"/>
      <c r="J171" s="56"/>
      <c r="K171" s="38"/>
      <c r="L171" s="80"/>
      <c r="M171" s="80"/>
    </row>
    <row r="172" spans="2:13" s="30" customFormat="1" ht="19.5" customHeight="1" x14ac:dyDescent="0.2">
      <c r="B172" s="462"/>
      <c r="D172" s="463"/>
      <c r="E172" s="257"/>
      <c r="F172" s="463"/>
      <c r="G172" s="42"/>
      <c r="H172" s="36"/>
      <c r="J172" s="56"/>
      <c r="K172" s="38"/>
      <c r="L172" s="80"/>
      <c r="M172" s="80"/>
    </row>
    <row r="173" spans="2:13" s="30" customFormat="1" ht="19.5" customHeight="1" x14ac:dyDescent="0.2">
      <c r="B173" s="462"/>
      <c r="D173" s="463"/>
      <c r="E173" s="257"/>
      <c r="F173" s="463"/>
      <c r="G173" s="42"/>
      <c r="H173" s="36"/>
      <c r="J173" s="56"/>
      <c r="K173" s="38"/>
      <c r="L173" s="80"/>
      <c r="M173" s="80"/>
    </row>
    <row r="174" spans="2:13" s="30" customFormat="1" ht="19.5" customHeight="1" x14ac:dyDescent="0.2">
      <c r="B174" s="462"/>
      <c r="D174" s="463"/>
      <c r="E174" s="257"/>
      <c r="F174" s="463"/>
      <c r="G174" s="42"/>
      <c r="H174" s="36"/>
      <c r="J174" s="56"/>
      <c r="K174" s="38"/>
      <c r="L174" s="80"/>
      <c r="M174" s="80"/>
    </row>
    <row r="175" spans="2:13" s="30" customFormat="1" ht="19.5" customHeight="1" x14ac:dyDescent="0.2">
      <c r="B175" s="462"/>
      <c r="D175" s="463"/>
      <c r="E175" s="257"/>
      <c r="F175" s="463"/>
      <c r="G175" s="42"/>
      <c r="H175" s="36"/>
      <c r="J175" s="56"/>
      <c r="K175" s="38"/>
      <c r="L175" s="80"/>
      <c r="M175" s="80"/>
    </row>
    <row r="176" spans="2:13" s="30" customFormat="1" ht="19.5" customHeight="1" x14ac:dyDescent="0.2">
      <c r="B176" s="462"/>
      <c r="D176" s="463"/>
      <c r="E176" s="257"/>
      <c r="F176" s="463"/>
      <c r="G176" s="42"/>
      <c r="H176" s="36"/>
      <c r="J176" s="56"/>
      <c r="K176" s="38"/>
      <c r="L176" s="80"/>
      <c r="M176" s="80"/>
    </row>
  </sheetData>
  <mergeCells count="8">
    <mergeCell ref="B66:F66"/>
    <mergeCell ref="G66:G69"/>
    <mergeCell ref="B67:F69"/>
    <mergeCell ref="E2:G2"/>
    <mergeCell ref="B5:F5"/>
    <mergeCell ref="G5:G8"/>
    <mergeCell ref="B6:F8"/>
    <mergeCell ref="E63:G63"/>
  </mergeCells>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1" max="7" man="1"/>
  </rowBreaks>
  <extLst>
    <ext xmlns:x14="http://schemas.microsoft.com/office/spreadsheetml/2009/9/main" uri="{78C0D931-6437-407d-A8EE-F0AAD7539E65}">
      <x14:conditionalFormattings>
        <x14:conditionalFormatting xmlns:xm="http://schemas.microsoft.com/office/excel/2006/main">
          <x14:cfRule type="expression" priority="4" id="{6D1F0C6E-44D4-4CA2-A598-1D8799F6DA7B}">
            <xm:f>AND(Information!$C$8=FALSE,$D27&lt;&gt;"P C Sum",$D27&lt;&gt;"PC Sum",$D27&lt;&gt;"P Sum",$D27&lt;&gt;"Prov Sum")</xm:f>
            <x14:dxf>
              <font>
                <strike val="0"/>
                <color theme="0"/>
              </font>
              <numFmt numFmtId="4" formatCode="#,##0.00"/>
            </x14:dxf>
          </x14:cfRule>
          <xm:sqref>F27:G39 F50:F57 F40 G40:G57 F58:G60 G70:G176</xm:sqref>
        </x14:conditionalFormatting>
        <x14:conditionalFormatting xmlns:xm="http://schemas.microsoft.com/office/excel/2006/main">
          <x14:cfRule type="expression" priority="3" id="{964F1EBD-C7F7-4C67-A925-BB333C5E43E6}">
            <xm:f>AND(Information!$C$8=FALSE,$D61&lt;&gt;"P C Sum",$D61&lt;&gt;"PC Sum",$D61&lt;&gt;"P Sum",$D61&lt;&gt;"Prov Sum")</xm:f>
            <x14:dxf>
              <font>
                <strike val="0"/>
                <color theme="0"/>
              </font>
              <numFmt numFmtId="4" formatCode="#,##0.00"/>
            </x14:dxf>
          </x14:cfRule>
          <xm:sqref>G61:G62</xm:sqref>
        </x14:conditionalFormatting>
        <x14:conditionalFormatting xmlns:xm="http://schemas.microsoft.com/office/excel/2006/main">
          <x14:cfRule type="expression" priority="2" id="{91F52F6A-38B4-41B0-8A16-4F024EFABEB6}">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1" id="{6EA01E70-9974-4FB6-86E8-2566919F5EFD}">
            <xm:f>AND(Information!$C$8=FALSE,$D19&lt;&gt;"P C Sum",$D19&lt;&gt;"PC Sum",$D19&lt;&gt;"P Sum",$D19&lt;&gt;"Prov Sum")</xm:f>
            <x14:dxf>
              <font>
                <strike val="0"/>
                <color theme="0"/>
              </font>
              <numFmt numFmtId="4" formatCode="#,##0.00"/>
            </x14:dxf>
          </x14:cfRule>
          <xm:sqref>F19:G19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FF93-2830-405B-9E5C-3076D0389D57}">
  <sheetPr>
    <tabColor rgb="FF00B050"/>
  </sheetPr>
  <dimension ref="A1:F63"/>
  <sheetViews>
    <sheetView view="pageBreakPreview" topLeftCell="A28" zoomScale="87" zoomScaleNormal="100" zoomScaleSheetLayoutView="87" workbookViewId="0">
      <selection activeCell="F19" sqref="F19"/>
    </sheetView>
  </sheetViews>
  <sheetFormatPr defaultRowHeight="12.75" x14ac:dyDescent="0.2"/>
  <cols>
    <col min="1" max="1" width="8" customWidth="1"/>
    <col min="2" max="2" width="35.28515625" customWidth="1"/>
    <col min="3" max="3" width="10.140625" customWidth="1"/>
    <col min="4" max="4" width="11.7109375" customWidth="1"/>
    <col min="5" max="5" width="12.5703125" customWidth="1"/>
    <col min="6" max="6" width="21.5703125" customWidth="1"/>
  </cols>
  <sheetData>
    <row r="1" spans="1:6" x14ac:dyDescent="0.2">
      <c r="A1" s="2" t="str">
        <f>Client1</f>
        <v>Province of KwaZulu-Natal</v>
      </c>
      <c r="B1" s="3"/>
      <c r="C1" s="4"/>
      <c r="D1" s="703" t="str">
        <f>"Contract No. "&amp;ContractNo</f>
        <v>Contract No. ZNB02287/00000/00/MET/INF/24/T</v>
      </c>
      <c r="E1" s="703"/>
      <c r="F1" s="703"/>
    </row>
    <row r="2" spans="1:6" x14ac:dyDescent="0.2">
      <c r="A2" s="81" t="str">
        <f>Client2</f>
        <v>Department of Transport</v>
      </c>
      <c r="B2" s="3"/>
      <c r="C2" s="4"/>
      <c r="D2" s="4"/>
      <c r="E2" s="1"/>
      <c r="F2" s="5"/>
    </row>
    <row r="3" spans="1:6" x14ac:dyDescent="0.2">
      <c r="A3" s="3"/>
      <c r="B3" s="3"/>
      <c r="C3" s="4"/>
      <c r="D3" s="4"/>
      <c r="E3" s="1"/>
      <c r="F3" s="5"/>
    </row>
    <row r="4" spans="1:6" x14ac:dyDescent="0.2">
      <c r="A4" s="698" t="s">
        <v>8</v>
      </c>
      <c r="B4" s="699"/>
      <c r="C4" s="699"/>
      <c r="D4" s="699"/>
      <c r="E4" s="699"/>
      <c r="F4" s="704" t="str">
        <f>"CHAPTER "&amp;A10</f>
        <v>CHAPTER C4.3</v>
      </c>
    </row>
    <row r="5" spans="1:6" ht="12.75" customHeight="1" x14ac:dyDescent="0.2">
      <c r="A5" s="691" t="str">
        <f>ContractDescription</f>
        <v>PROVISION OF ROUTINE AND SAFETY MAINTENANCE ON MIAN ROAD P3/1 (KM 69.00 TO KM 77.96), P3/2 (KM 0.00 TO KM 11.50), P21/2(KM 0.00 TO KM 29.83 IN THE ETHEKWINI METRO - DURBAN REGION</v>
      </c>
      <c r="B5" s="692"/>
      <c r="C5" s="692"/>
      <c r="D5" s="692"/>
      <c r="E5" s="692"/>
      <c r="F5" s="705"/>
    </row>
    <row r="6" spans="1:6" x14ac:dyDescent="0.2">
      <c r="A6" s="691"/>
      <c r="B6" s="692"/>
      <c r="C6" s="692"/>
      <c r="D6" s="692"/>
      <c r="E6" s="692"/>
      <c r="F6" s="705"/>
    </row>
    <row r="7" spans="1:6" x14ac:dyDescent="0.2">
      <c r="A7" s="693"/>
      <c r="B7" s="694"/>
      <c r="C7" s="694"/>
      <c r="D7" s="694"/>
      <c r="E7" s="694"/>
      <c r="F7" s="706"/>
    </row>
    <row r="8" spans="1:6" ht="25.5" x14ac:dyDescent="0.2">
      <c r="A8" s="10" t="s">
        <v>0</v>
      </c>
      <c r="B8" s="11" t="s">
        <v>1</v>
      </c>
      <c r="C8" s="11" t="s">
        <v>2</v>
      </c>
      <c r="D8" s="11" t="s">
        <v>3</v>
      </c>
      <c r="E8" s="11" t="s">
        <v>4</v>
      </c>
      <c r="F8" s="11" t="s">
        <v>5</v>
      </c>
    </row>
    <row r="9" spans="1:6" x14ac:dyDescent="0.2">
      <c r="A9" s="79"/>
      <c r="B9" s="7"/>
      <c r="C9" s="75"/>
      <c r="D9" s="15"/>
      <c r="E9" s="16"/>
      <c r="F9" s="17" t="str">
        <f t="shared" ref="F9:F27" si="0">IF(C9="","",D9*E9)</f>
        <v/>
      </c>
    </row>
    <row r="10" spans="1:6" x14ac:dyDescent="0.2">
      <c r="A10" s="67" t="s">
        <v>1065</v>
      </c>
      <c r="B10" s="7" t="s">
        <v>1066</v>
      </c>
      <c r="C10" s="15"/>
      <c r="D10" s="15"/>
      <c r="E10" s="16"/>
      <c r="F10" s="17" t="str">
        <f t="shared" si="0"/>
        <v/>
      </c>
    </row>
    <row r="11" spans="1:6" x14ac:dyDescent="0.2">
      <c r="A11" s="123"/>
      <c r="B11" s="38"/>
      <c r="C11" s="22"/>
      <c r="D11" s="22"/>
      <c r="E11" s="41"/>
      <c r="F11" s="17" t="str">
        <f t="shared" si="0"/>
        <v/>
      </c>
    </row>
    <row r="12" spans="1:6" x14ac:dyDescent="0.2">
      <c r="A12" s="123" t="s">
        <v>1067</v>
      </c>
      <c r="B12" s="56" t="s">
        <v>1068</v>
      </c>
      <c r="C12" s="22"/>
      <c r="D12" s="22"/>
      <c r="E12" s="41"/>
      <c r="F12" s="17" t="str">
        <f t="shared" si="0"/>
        <v/>
      </c>
    </row>
    <row r="13" spans="1:6" x14ac:dyDescent="0.2">
      <c r="A13" s="122"/>
      <c r="B13" s="3"/>
      <c r="C13" s="22"/>
      <c r="D13" s="22"/>
      <c r="E13" s="41"/>
      <c r="F13" s="17" t="str">
        <f t="shared" si="0"/>
        <v/>
      </c>
    </row>
    <row r="14" spans="1:6" ht="12.6" customHeight="1" x14ac:dyDescent="0.2">
      <c r="A14" s="123" t="s">
        <v>1069</v>
      </c>
      <c r="B14" s="38" t="s">
        <v>1070</v>
      </c>
      <c r="C14" s="22" t="s">
        <v>1071</v>
      </c>
      <c r="D14" s="22">
        <v>1</v>
      </c>
      <c r="E14" s="41">
        <v>10000</v>
      </c>
      <c r="F14" s="17">
        <f t="shared" si="0"/>
        <v>10000</v>
      </c>
    </row>
    <row r="15" spans="1:6" ht="12.6" customHeight="1" x14ac:dyDescent="0.2">
      <c r="A15" s="123"/>
      <c r="B15" s="38"/>
      <c r="C15" s="22"/>
      <c r="D15" s="22"/>
      <c r="E15" s="41"/>
      <c r="F15" s="17" t="str">
        <f t="shared" si="0"/>
        <v/>
      </c>
    </row>
    <row r="16" spans="1:6" ht="14.45" customHeight="1" x14ac:dyDescent="0.2">
      <c r="A16" s="123"/>
      <c r="B16" s="38"/>
      <c r="C16" s="22"/>
      <c r="D16" s="22"/>
      <c r="E16" s="41"/>
      <c r="F16" s="17" t="str">
        <f t="shared" si="0"/>
        <v/>
      </c>
    </row>
    <row r="17" spans="1:6" ht="12.6" customHeight="1" x14ac:dyDescent="0.2">
      <c r="A17" s="123" t="s">
        <v>1072</v>
      </c>
      <c r="B17" s="38" t="s">
        <v>1073</v>
      </c>
      <c r="C17" s="22" t="s">
        <v>25</v>
      </c>
      <c r="D17" s="243">
        <v>10000</v>
      </c>
      <c r="E17" s="582"/>
      <c r="F17" s="17">
        <f t="shared" si="0"/>
        <v>0</v>
      </c>
    </row>
    <row r="18" spans="1:6" ht="14.45" customHeight="1" x14ac:dyDescent="0.2">
      <c r="A18" s="123"/>
      <c r="B18" s="38"/>
      <c r="C18" s="22"/>
      <c r="D18" s="22"/>
      <c r="E18" s="41"/>
      <c r="F18" s="17" t="str">
        <f t="shared" si="0"/>
        <v/>
      </c>
    </row>
    <row r="19" spans="1:6" ht="12.6" customHeight="1" x14ac:dyDescent="0.2">
      <c r="A19" s="123" t="s">
        <v>1074</v>
      </c>
      <c r="B19" s="38" t="s">
        <v>1075</v>
      </c>
      <c r="C19" s="22"/>
      <c r="D19" s="22"/>
      <c r="E19" s="41"/>
      <c r="F19" s="17" t="str">
        <f t="shared" si="0"/>
        <v/>
      </c>
    </row>
    <row r="20" spans="1:6" ht="14.45" customHeight="1" x14ac:dyDescent="0.2">
      <c r="A20" s="123"/>
      <c r="B20" s="38"/>
      <c r="C20" s="22"/>
      <c r="D20" s="22"/>
      <c r="E20" s="41"/>
      <c r="F20" s="17" t="str">
        <f t="shared" si="0"/>
        <v/>
      </c>
    </row>
    <row r="21" spans="1:6" s="584" customFormat="1" ht="27" customHeight="1" x14ac:dyDescent="0.2">
      <c r="A21" s="583" t="s">
        <v>1076</v>
      </c>
      <c r="B21" s="56" t="s">
        <v>1077</v>
      </c>
      <c r="C21" s="22" t="s">
        <v>33</v>
      </c>
      <c r="D21" s="22">
        <v>3</v>
      </c>
      <c r="E21" s="41"/>
      <c r="F21" s="17">
        <f t="shared" si="0"/>
        <v>0</v>
      </c>
    </row>
    <row r="22" spans="1:6" x14ac:dyDescent="0.2">
      <c r="A22" s="123"/>
      <c r="B22" s="56"/>
      <c r="C22" s="22"/>
      <c r="D22" s="23"/>
      <c r="E22" s="24"/>
      <c r="F22" s="17" t="str">
        <f t="shared" si="0"/>
        <v/>
      </c>
    </row>
    <row r="23" spans="1:6" ht="38.25" x14ac:dyDescent="0.2">
      <c r="A23" s="123" t="s">
        <v>1078</v>
      </c>
      <c r="B23" s="56" t="s">
        <v>1079</v>
      </c>
      <c r="C23" s="22"/>
      <c r="D23" s="23"/>
      <c r="E23" s="24"/>
      <c r="F23" s="17" t="str">
        <f t="shared" si="0"/>
        <v/>
      </c>
    </row>
    <row r="24" spans="1:6" x14ac:dyDescent="0.2">
      <c r="A24" s="123"/>
      <c r="B24" s="3"/>
      <c r="C24" s="22"/>
      <c r="D24" s="23"/>
      <c r="E24" s="46"/>
      <c r="F24" s="17" t="str">
        <f t="shared" si="0"/>
        <v/>
      </c>
    </row>
    <row r="25" spans="1:6" x14ac:dyDescent="0.2">
      <c r="A25" s="123" t="s">
        <v>1080</v>
      </c>
      <c r="B25" s="3" t="s">
        <v>1081</v>
      </c>
      <c r="C25" s="22" t="s">
        <v>743</v>
      </c>
      <c r="D25" s="23">
        <v>150</v>
      </c>
      <c r="E25" s="46"/>
      <c r="F25" s="17">
        <f t="shared" si="0"/>
        <v>0</v>
      </c>
    </row>
    <row r="26" spans="1:6" x14ac:dyDescent="0.2">
      <c r="A26" s="123"/>
      <c r="B26" s="38"/>
      <c r="C26" s="22"/>
      <c r="D26" s="23"/>
      <c r="E26" s="46"/>
      <c r="F26" s="17" t="str">
        <f t="shared" si="0"/>
        <v/>
      </c>
    </row>
    <row r="27" spans="1:6" x14ac:dyDescent="0.2">
      <c r="A27" s="123" t="s">
        <v>1082</v>
      </c>
      <c r="B27" s="38" t="s">
        <v>1083</v>
      </c>
      <c r="C27" s="22" t="s">
        <v>743</v>
      </c>
      <c r="D27" s="23">
        <v>500</v>
      </c>
      <c r="E27" s="46"/>
      <c r="F27" s="17">
        <f t="shared" si="0"/>
        <v>0</v>
      </c>
    </row>
    <row r="28" spans="1:6" x14ac:dyDescent="0.2">
      <c r="A28" s="123"/>
      <c r="B28" s="3"/>
      <c r="C28" s="22"/>
      <c r="D28" s="23"/>
      <c r="E28" s="46"/>
      <c r="F28" s="17"/>
    </row>
    <row r="29" spans="1:6" x14ac:dyDescent="0.2">
      <c r="A29" s="123"/>
      <c r="B29" s="3"/>
      <c r="C29" s="22"/>
      <c r="D29" s="23"/>
      <c r="E29" s="46"/>
      <c r="F29" s="17"/>
    </row>
    <row r="30" spans="1:6" x14ac:dyDescent="0.2">
      <c r="A30" s="123"/>
      <c r="B30" s="3"/>
      <c r="C30" s="22"/>
      <c r="D30" s="23"/>
      <c r="E30" s="46"/>
      <c r="F30" s="17"/>
    </row>
    <row r="31" spans="1:6" x14ac:dyDescent="0.2">
      <c r="A31" s="123"/>
      <c r="B31" s="3"/>
      <c r="C31" s="22"/>
      <c r="D31" s="23"/>
      <c r="E31" s="46"/>
      <c r="F31" s="17"/>
    </row>
    <row r="32" spans="1:6" x14ac:dyDescent="0.2">
      <c r="A32" s="123"/>
      <c r="B32" s="3"/>
      <c r="C32" s="22"/>
      <c r="D32" s="23"/>
      <c r="E32" s="46"/>
      <c r="F32" s="17"/>
    </row>
    <row r="33" spans="1:6" x14ac:dyDescent="0.2">
      <c r="A33" s="123"/>
      <c r="B33" s="3"/>
      <c r="C33" s="22"/>
      <c r="D33" s="23"/>
      <c r="E33" s="46"/>
      <c r="F33" s="17"/>
    </row>
    <row r="34" spans="1:6" x14ac:dyDescent="0.2">
      <c r="A34" s="123"/>
      <c r="B34" s="3"/>
      <c r="C34" s="22"/>
      <c r="D34" s="23"/>
      <c r="E34" s="46"/>
      <c r="F34" s="17"/>
    </row>
    <row r="35" spans="1:6" x14ac:dyDescent="0.2">
      <c r="A35" s="123"/>
      <c r="B35" s="3"/>
      <c r="C35" s="22"/>
      <c r="D35" s="23"/>
      <c r="E35" s="46"/>
      <c r="F35" s="17"/>
    </row>
    <row r="36" spans="1:6" x14ac:dyDescent="0.2">
      <c r="A36" s="123"/>
      <c r="B36" s="3"/>
      <c r="C36" s="22"/>
      <c r="D36" s="23"/>
      <c r="E36" s="46"/>
      <c r="F36" s="17"/>
    </row>
    <row r="37" spans="1:6" x14ac:dyDescent="0.2">
      <c r="A37" s="123"/>
      <c r="B37" s="3"/>
      <c r="C37" s="22"/>
      <c r="D37" s="23"/>
      <c r="E37" s="46"/>
      <c r="F37" s="17"/>
    </row>
    <row r="38" spans="1:6" x14ac:dyDescent="0.2">
      <c r="A38" s="123"/>
      <c r="B38" s="3"/>
      <c r="C38" s="22"/>
      <c r="D38" s="23"/>
      <c r="E38" s="46"/>
      <c r="F38" s="17"/>
    </row>
    <row r="39" spans="1:6" x14ac:dyDescent="0.2">
      <c r="A39" s="123"/>
      <c r="B39" s="3"/>
      <c r="C39" s="22"/>
      <c r="D39" s="23"/>
      <c r="E39" s="46"/>
      <c r="F39" s="17"/>
    </row>
    <row r="40" spans="1:6" x14ac:dyDescent="0.2">
      <c r="A40" s="123"/>
      <c r="B40" s="3"/>
      <c r="C40" s="22"/>
      <c r="D40" s="23"/>
      <c r="E40" s="46"/>
      <c r="F40" s="17"/>
    </row>
    <row r="41" spans="1:6" x14ac:dyDescent="0.2">
      <c r="A41" s="123"/>
      <c r="B41" s="3"/>
      <c r="C41" s="22"/>
      <c r="D41" s="23"/>
      <c r="E41" s="46"/>
      <c r="F41" s="17"/>
    </row>
    <row r="42" spans="1:6" x14ac:dyDescent="0.2">
      <c r="A42" s="123"/>
      <c r="B42" s="3"/>
      <c r="C42" s="22"/>
      <c r="D42" s="23"/>
      <c r="E42" s="46"/>
      <c r="F42" s="17"/>
    </row>
    <row r="43" spans="1:6" x14ac:dyDescent="0.2">
      <c r="A43" s="123"/>
      <c r="B43" s="3"/>
      <c r="C43" s="22"/>
      <c r="D43" s="23"/>
      <c r="E43" s="46"/>
      <c r="F43" s="17"/>
    </row>
    <row r="44" spans="1:6" x14ac:dyDescent="0.2">
      <c r="A44" s="123"/>
      <c r="B44" s="3"/>
      <c r="C44" s="22"/>
      <c r="D44" s="23"/>
      <c r="E44" s="46"/>
      <c r="F44" s="17"/>
    </row>
    <row r="45" spans="1:6" x14ac:dyDescent="0.2">
      <c r="A45" s="123"/>
      <c r="B45" s="3"/>
      <c r="C45" s="22"/>
      <c r="D45" s="23"/>
      <c r="E45" s="46"/>
      <c r="F45" s="17"/>
    </row>
    <row r="46" spans="1:6" x14ac:dyDescent="0.2">
      <c r="A46" s="123"/>
      <c r="B46" s="3"/>
      <c r="C46" s="22"/>
      <c r="D46" s="23"/>
      <c r="E46" s="46"/>
      <c r="F46" s="17"/>
    </row>
    <row r="47" spans="1:6" x14ac:dyDescent="0.2">
      <c r="A47" s="123"/>
      <c r="B47" s="3"/>
      <c r="C47" s="22"/>
      <c r="D47" s="23"/>
      <c r="E47" s="46"/>
      <c r="F47" s="17"/>
    </row>
    <row r="48" spans="1:6" x14ac:dyDescent="0.2">
      <c r="A48" s="123"/>
      <c r="B48" s="3"/>
      <c r="C48" s="22"/>
      <c r="D48" s="23"/>
      <c r="E48" s="46"/>
      <c r="F48" s="17"/>
    </row>
    <row r="49" spans="1:6" x14ac:dyDescent="0.2">
      <c r="A49" s="123"/>
      <c r="B49" s="3"/>
      <c r="C49" s="22"/>
      <c r="D49" s="23"/>
      <c r="E49" s="46"/>
      <c r="F49" s="17"/>
    </row>
    <row r="50" spans="1:6" x14ac:dyDescent="0.2">
      <c r="A50" s="123"/>
      <c r="B50" s="3"/>
      <c r="C50" s="22"/>
      <c r="D50" s="23"/>
      <c r="E50" s="46"/>
      <c r="F50" s="17"/>
    </row>
    <row r="51" spans="1:6" x14ac:dyDescent="0.2">
      <c r="A51" s="123"/>
      <c r="B51" s="3"/>
      <c r="C51" s="22"/>
      <c r="D51" s="23"/>
      <c r="E51" s="46"/>
      <c r="F51" s="17"/>
    </row>
    <row r="52" spans="1:6" x14ac:dyDescent="0.2">
      <c r="A52" s="123"/>
      <c r="B52" s="3"/>
      <c r="C52" s="22"/>
      <c r="D52" s="23"/>
      <c r="E52" s="46"/>
      <c r="F52" s="17"/>
    </row>
    <row r="53" spans="1:6" x14ac:dyDescent="0.2">
      <c r="A53" s="123"/>
      <c r="B53" s="3"/>
      <c r="C53" s="22"/>
      <c r="D53" s="23"/>
      <c r="E53" s="46"/>
      <c r="F53" s="17"/>
    </row>
    <row r="54" spans="1:6" x14ac:dyDescent="0.2">
      <c r="A54" s="123"/>
      <c r="B54" s="3"/>
      <c r="C54" s="22"/>
      <c r="D54" s="23"/>
      <c r="E54" s="46"/>
      <c r="F54" s="17"/>
    </row>
    <row r="55" spans="1:6" x14ac:dyDescent="0.2">
      <c r="A55" s="123"/>
      <c r="B55" s="3"/>
      <c r="C55" s="22"/>
      <c r="D55" s="23"/>
      <c r="E55" s="46"/>
      <c r="F55" s="17"/>
    </row>
    <row r="56" spans="1:6" x14ac:dyDescent="0.2">
      <c r="A56" s="123"/>
      <c r="B56" s="3"/>
      <c r="C56" s="22"/>
      <c r="D56" s="23"/>
      <c r="E56" s="46"/>
      <c r="F56" s="17"/>
    </row>
    <row r="57" spans="1:6" x14ac:dyDescent="0.2">
      <c r="A57" s="123"/>
      <c r="B57" s="3"/>
      <c r="C57" s="22"/>
      <c r="D57" s="23"/>
      <c r="E57" s="46"/>
      <c r="F57" s="17"/>
    </row>
    <row r="58" spans="1:6" x14ac:dyDescent="0.2">
      <c r="A58" s="123"/>
      <c r="B58" s="3"/>
      <c r="C58" s="22"/>
      <c r="D58" s="23"/>
      <c r="E58" s="46"/>
      <c r="F58" s="17"/>
    </row>
    <row r="59" spans="1:6" x14ac:dyDescent="0.2">
      <c r="A59" s="123"/>
      <c r="B59" s="3"/>
      <c r="C59" s="22"/>
      <c r="D59" s="23"/>
      <c r="E59" s="46"/>
      <c r="F59" s="17"/>
    </row>
    <row r="60" spans="1:6" x14ac:dyDescent="0.2">
      <c r="A60" s="123"/>
      <c r="B60" s="3"/>
      <c r="C60" s="22"/>
      <c r="D60" s="23"/>
      <c r="E60" s="46"/>
      <c r="F60" s="17"/>
    </row>
    <row r="61" spans="1:6" x14ac:dyDescent="0.2">
      <c r="A61" s="123"/>
      <c r="B61" s="3"/>
      <c r="C61" s="22"/>
      <c r="D61" s="23"/>
      <c r="E61" s="46"/>
      <c r="F61" s="17"/>
    </row>
    <row r="62" spans="1:6" x14ac:dyDescent="0.2">
      <c r="A62" s="123"/>
      <c r="B62" s="3"/>
      <c r="C62" s="22"/>
      <c r="D62" s="23"/>
      <c r="E62" s="46"/>
      <c r="F62" s="17"/>
    </row>
    <row r="63" spans="1:6" ht="31.5" customHeight="1" x14ac:dyDescent="0.2">
      <c r="A63" s="121" t="s">
        <v>1065</v>
      </c>
      <c r="B63" s="32" t="s">
        <v>12</v>
      </c>
      <c r="C63" s="33"/>
      <c r="D63" s="34"/>
      <c r="E63" s="33"/>
      <c r="F63" s="35">
        <f>SUM(F9:F62)</f>
        <v>10000</v>
      </c>
    </row>
  </sheetData>
  <mergeCells count="4">
    <mergeCell ref="D1:F1"/>
    <mergeCell ref="A4:E4"/>
    <mergeCell ref="F4:F7"/>
    <mergeCell ref="A5:E7"/>
  </mergeCells>
  <pageMargins left="0.70866141732283472" right="0.70866141732283472" top="0.74803149606299213" bottom="0.74803149606299213" header="0.31496062992125984" footer="0.31496062992125984"/>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C684-0D39-41F6-88E4-DF6446BAF0F3}">
  <sheetPr>
    <tabColor rgb="FF00B050"/>
  </sheetPr>
  <dimension ref="A1:F63"/>
  <sheetViews>
    <sheetView view="pageBreakPreview" zoomScale="87" zoomScaleNormal="100" zoomScaleSheetLayoutView="87" workbookViewId="0">
      <selection activeCell="E22" sqref="E22:E27"/>
    </sheetView>
  </sheetViews>
  <sheetFormatPr defaultRowHeight="12.75" x14ac:dyDescent="0.2"/>
  <cols>
    <col min="1" max="1" width="8" customWidth="1"/>
    <col min="2" max="2" width="35.28515625" customWidth="1"/>
    <col min="3" max="3" width="10.140625" customWidth="1"/>
    <col min="4" max="4" width="11.7109375" customWidth="1"/>
    <col min="5" max="5" width="12.5703125" customWidth="1"/>
    <col min="6" max="6" width="21.5703125" customWidth="1"/>
  </cols>
  <sheetData>
    <row r="1" spans="1:6" x14ac:dyDescent="0.2">
      <c r="A1" s="2" t="str">
        <f>Client1</f>
        <v>Province of KwaZulu-Natal</v>
      </c>
      <c r="B1" s="3"/>
      <c r="C1" s="4"/>
      <c r="D1" s="703" t="str">
        <f>"Contract No. "&amp;ContractNo</f>
        <v>Contract No. ZNB02287/00000/00/MET/INF/24/T</v>
      </c>
      <c r="E1" s="703"/>
      <c r="F1" s="703"/>
    </row>
    <row r="2" spans="1:6" x14ac:dyDescent="0.2">
      <c r="A2" s="81" t="str">
        <f>Client2</f>
        <v>Department of Transport</v>
      </c>
      <c r="B2" s="3"/>
      <c r="C2" s="4"/>
      <c r="D2" s="4"/>
      <c r="E2" s="1"/>
      <c r="F2" s="5"/>
    </row>
    <row r="3" spans="1:6" x14ac:dyDescent="0.2">
      <c r="A3" s="3"/>
      <c r="B3" s="3"/>
      <c r="C3" s="4"/>
      <c r="D3" s="4"/>
      <c r="E3" s="1"/>
      <c r="F3" s="5"/>
    </row>
    <row r="4" spans="1:6" x14ac:dyDescent="0.2">
      <c r="A4" s="698" t="s">
        <v>8</v>
      </c>
      <c r="B4" s="699"/>
      <c r="C4" s="699"/>
      <c r="D4" s="699"/>
      <c r="E4" s="699"/>
      <c r="F4" s="704" t="str">
        <f>"CHAPTER "&amp;A10</f>
        <v>CHAPTER C4.4</v>
      </c>
    </row>
    <row r="5" spans="1:6" ht="12.75" customHeight="1" x14ac:dyDescent="0.2">
      <c r="A5" s="691" t="str">
        <f>ContractDescription</f>
        <v>PROVISION OF ROUTINE AND SAFETY MAINTENANCE ON MIAN ROAD P3/1 (KM 69.00 TO KM 77.96), P3/2 (KM 0.00 TO KM 11.50), P21/2(KM 0.00 TO KM 29.83 IN THE ETHEKWINI METRO - DURBAN REGION</v>
      </c>
      <c r="B5" s="692"/>
      <c r="C5" s="692"/>
      <c r="D5" s="692"/>
      <c r="E5" s="692"/>
      <c r="F5" s="705"/>
    </row>
    <row r="6" spans="1:6" x14ac:dyDescent="0.2">
      <c r="A6" s="691"/>
      <c r="B6" s="692"/>
      <c r="C6" s="692"/>
      <c r="D6" s="692"/>
      <c r="E6" s="692"/>
      <c r="F6" s="705"/>
    </row>
    <row r="7" spans="1:6" x14ac:dyDescent="0.2">
      <c r="A7" s="693"/>
      <c r="B7" s="694"/>
      <c r="C7" s="694"/>
      <c r="D7" s="694"/>
      <c r="E7" s="694"/>
      <c r="F7" s="706"/>
    </row>
    <row r="8" spans="1:6" ht="25.5" x14ac:dyDescent="0.2">
      <c r="A8" s="10" t="s">
        <v>0</v>
      </c>
      <c r="B8" s="11" t="s">
        <v>1</v>
      </c>
      <c r="C8" s="11" t="s">
        <v>2</v>
      </c>
      <c r="D8" s="11" t="s">
        <v>3</v>
      </c>
      <c r="E8" s="11" t="s">
        <v>4</v>
      </c>
      <c r="F8" s="11" t="s">
        <v>5</v>
      </c>
    </row>
    <row r="9" spans="1:6" x14ac:dyDescent="0.2">
      <c r="A9" s="79"/>
      <c r="B9" s="7"/>
      <c r="C9" s="75"/>
      <c r="D9" s="15"/>
      <c r="E9" s="16"/>
      <c r="F9" s="17" t="str">
        <f t="shared" ref="F9:F26" si="0">IF(C9="","",D9*E9)</f>
        <v/>
      </c>
    </row>
    <row r="10" spans="1:6" x14ac:dyDescent="0.2">
      <c r="A10" s="67" t="s">
        <v>180</v>
      </c>
      <c r="B10" s="7" t="s">
        <v>179</v>
      </c>
      <c r="C10" s="15"/>
      <c r="D10" s="15"/>
      <c r="E10" s="16"/>
      <c r="F10" s="17" t="str">
        <f t="shared" si="0"/>
        <v/>
      </c>
    </row>
    <row r="11" spans="1:6" x14ac:dyDescent="0.2">
      <c r="A11" s="123"/>
      <c r="B11" s="38"/>
      <c r="C11" s="22"/>
      <c r="D11" s="22"/>
      <c r="E11" s="41"/>
      <c r="F11" s="17" t="str">
        <f t="shared" si="0"/>
        <v/>
      </c>
    </row>
    <row r="12" spans="1:6" ht="38.25" x14ac:dyDescent="0.2">
      <c r="A12" s="123" t="s">
        <v>943</v>
      </c>
      <c r="B12" s="56" t="s">
        <v>942</v>
      </c>
      <c r="C12" s="22"/>
      <c r="D12" s="22"/>
      <c r="E12" s="41"/>
      <c r="F12" s="17" t="str">
        <f t="shared" si="0"/>
        <v/>
      </c>
    </row>
    <row r="13" spans="1:6" x14ac:dyDescent="0.2">
      <c r="A13" s="122"/>
      <c r="B13" s="3"/>
      <c r="C13" s="22"/>
      <c r="D13" s="22"/>
      <c r="E13" s="41"/>
      <c r="F13" s="17" t="str">
        <f t="shared" si="0"/>
        <v/>
      </c>
    </row>
    <row r="14" spans="1:6" hidden="1" x14ac:dyDescent="0.2">
      <c r="A14" s="123" t="s">
        <v>944</v>
      </c>
      <c r="B14" s="38" t="s">
        <v>178</v>
      </c>
      <c r="C14" s="22"/>
      <c r="D14" s="22"/>
      <c r="E14" s="41"/>
      <c r="F14" s="17" t="str">
        <f t="shared" si="0"/>
        <v/>
      </c>
    </row>
    <row r="15" spans="1:6" hidden="1" x14ac:dyDescent="0.2">
      <c r="A15" s="123"/>
      <c r="B15" s="38"/>
      <c r="C15" s="22"/>
      <c r="D15" s="22"/>
      <c r="E15" s="41"/>
      <c r="F15" s="17"/>
    </row>
    <row r="16" spans="1:6" ht="14.25" hidden="1" x14ac:dyDescent="0.2">
      <c r="A16" s="123"/>
      <c r="B16" s="38" t="s">
        <v>945</v>
      </c>
      <c r="C16" s="22" t="s">
        <v>23</v>
      </c>
      <c r="D16" s="22">
        <v>0</v>
      </c>
      <c r="E16" s="41">
        <v>650</v>
      </c>
      <c r="F16" s="17">
        <f t="shared" si="0"/>
        <v>0</v>
      </c>
    </row>
    <row r="17" spans="1:6" hidden="1" x14ac:dyDescent="0.2">
      <c r="A17" s="123"/>
      <c r="B17" s="38"/>
      <c r="C17" s="22"/>
      <c r="D17" s="22"/>
      <c r="E17" s="41"/>
      <c r="F17" s="17" t="str">
        <f t="shared" si="0"/>
        <v/>
      </c>
    </row>
    <row r="18" spans="1:6" ht="14.25" hidden="1" x14ac:dyDescent="0.2">
      <c r="A18" s="123"/>
      <c r="B18" s="38" t="s">
        <v>946</v>
      </c>
      <c r="C18" s="22" t="s">
        <v>23</v>
      </c>
      <c r="D18" s="22">
        <v>0</v>
      </c>
      <c r="E18" s="41">
        <v>450</v>
      </c>
      <c r="F18" s="17">
        <f t="shared" si="0"/>
        <v>0</v>
      </c>
    </row>
    <row r="19" spans="1:6" hidden="1" x14ac:dyDescent="0.2">
      <c r="A19" s="123"/>
      <c r="B19" s="38"/>
      <c r="C19" s="22"/>
      <c r="D19" s="22"/>
      <c r="E19" s="41"/>
      <c r="F19" s="17" t="str">
        <f t="shared" si="0"/>
        <v/>
      </c>
    </row>
    <row r="20" spans="1:6" ht="14.25" hidden="1" x14ac:dyDescent="0.2">
      <c r="A20" s="123"/>
      <c r="B20" s="38" t="s">
        <v>947</v>
      </c>
      <c r="C20" s="22" t="s">
        <v>23</v>
      </c>
      <c r="D20" s="22">
        <v>0</v>
      </c>
      <c r="E20" s="41">
        <v>250</v>
      </c>
      <c r="F20" s="17">
        <f t="shared" si="0"/>
        <v>0</v>
      </c>
    </row>
    <row r="21" spans="1:6" hidden="1" x14ac:dyDescent="0.2">
      <c r="A21" s="123"/>
      <c r="B21" s="38"/>
      <c r="C21" s="22"/>
      <c r="D21" s="22"/>
      <c r="E21" s="41"/>
      <c r="F21" s="17" t="str">
        <f t="shared" si="0"/>
        <v/>
      </c>
    </row>
    <row r="22" spans="1:6" x14ac:dyDescent="0.2">
      <c r="A22" s="123" t="s">
        <v>948</v>
      </c>
      <c r="B22" s="56" t="s">
        <v>949</v>
      </c>
      <c r="C22" s="22"/>
      <c r="D22" s="23"/>
      <c r="E22" s="24"/>
      <c r="F22" s="17" t="str">
        <f t="shared" si="0"/>
        <v/>
      </c>
    </row>
    <row r="23" spans="1:6" x14ac:dyDescent="0.2">
      <c r="A23" s="123"/>
      <c r="B23" s="56"/>
      <c r="C23" s="22"/>
      <c r="D23" s="23"/>
      <c r="E23" s="24"/>
      <c r="F23" s="17"/>
    </row>
    <row r="24" spans="1:6" ht="14.25" x14ac:dyDescent="0.2">
      <c r="A24" s="123"/>
      <c r="B24" s="3" t="s">
        <v>950</v>
      </c>
      <c r="C24" s="22" t="s">
        <v>169</v>
      </c>
      <c r="D24" s="23">
        <v>1800</v>
      </c>
      <c r="E24" s="46"/>
      <c r="F24" s="17">
        <f t="shared" si="0"/>
        <v>0</v>
      </c>
    </row>
    <row r="25" spans="1:6" x14ac:dyDescent="0.2">
      <c r="A25" s="123"/>
      <c r="B25" s="3"/>
      <c r="C25" s="22"/>
      <c r="D25" s="23"/>
      <c r="E25" s="46"/>
      <c r="F25" s="17" t="str">
        <f t="shared" si="0"/>
        <v/>
      </c>
    </row>
    <row r="26" spans="1:6" ht="14.25" x14ac:dyDescent="0.2">
      <c r="A26" s="123"/>
      <c r="B26" s="38" t="s">
        <v>951</v>
      </c>
      <c r="C26" s="22" t="s">
        <v>169</v>
      </c>
      <c r="D26" s="23">
        <v>100</v>
      </c>
      <c r="E26" s="46"/>
      <c r="F26" s="17">
        <f t="shared" si="0"/>
        <v>0</v>
      </c>
    </row>
    <row r="27" spans="1:6" x14ac:dyDescent="0.2">
      <c r="A27" s="123"/>
      <c r="B27" s="38"/>
      <c r="C27" s="22"/>
      <c r="D27" s="23"/>
      <c r="E27" s="46"/>
      <c r="F27" s="17"/>
    </row>
    <row r="28" spans="1:6" x14ac:dyDescent="0.2">
      <c r="A28" s="123"/>
      <c r="B28" s="3"/>
      <c r="C28" s="22"/>
      <c r="D28" s="23"/>
      <c r="E28" s="46"/>
      <c r="F28" s="17"/>
    </row>
    <row r="29" spans="1:6" x14ac:dyDescent="0.2">
      <c r="A29" s="123"/>
      <c r="B29" s="3"/>
      <c r="C29" s="22"/>
      <c r="D29" s="23"/>
      <c r="E29" s="46"/>
      <c r="F29" s="17"/>
    </row>
    <row r="30" spans="1:6" x14ac:dyDescent="0.2">
      <c r="A30" s="123"/>
      <c r="B30" s="3"/>
      <c r="C30" s="22"/>
      <c r="D30" s="23"/>
      <c r="E30" s="46"/>
      <c r="F30" s="17"/>
    </row>
    <row r="31" spans="1:6" x14ac:dyDescent="0.2">
      <c r="A31" s="123"/>
      <c r="B31" s="3"/>
      <c r="C31" s="22"/>
      <c r="D31" s="23"/>
      <c r="E31" s="46"/>
      <c r="F31" s="17"/>
    </row>
    <row r="32" spans="1:6" x14ac:dyDescent="0.2">
      <c r="A32" s="123"/>
      <c r="B32" s="3"/>
      <c r="C32" s="22"/>
      <c r="D32" s="23"/>
      <c r="E32" s="46"/>
      <c r="F32" s="17"/>
    </row>
    <row r="33" spans="1:6" x14ac:dyDescent="0.2">
      <c r="A33" s="123"/>
      <c r="B33" s="3"/>
      <c r="C33" s="22"/>
      <c r="D33" s="23"/>
      <c r="E33" s="46"/>
      <c r="F33" s="17"/>
    </row>
    <row r="34" spans="1:6" x14ac:dyDescent="0.2">
      <c r="A34" s="123"/>
      <c r="B34" s="3"/>
      <c r="C34" s="22"/>
      <c r="D34" s="23"/>
      <c r="E34" s="46"/>
      <c r="F34" s="17"/>
    </row>
    <row r="35" spans="1:6" x14ac:dyDescent="0.2">
      <c r="A35" s="123"/>
      <c r="B35" s="3"/>
      <c r="C35" s="22"/>
      <c r="D35" s="23"/>
      <c r="E35" s="46"/>
      <c r="F35" s="17"/>
    </row>
    <row r="36" spans="1:6" x14ac:dyDescent="0.2">
      <c r="A36" s="123"/>
      <c r="B36" s="3"/>
      <c r="C36" s="22"/>
      <c r="D36" s="23"/>
      <c r="E36" s="46"/>
      <c r="F36" s="17"/>
    </row>
    <row r="37" spans="1:6" x14ac:dyDescent="0.2">
      <c r="A37" s="123"/>
      <c r="B37" s="3"/>
      <c r="C37" s="22"/>
      <c r="D37" s="23"/>
      <c r="E37" s="46"/>
      <c r="F37" s="17"/>
    </row>
    <row r="38" spans="1:6" x14ac:dyDescent="0.2">
      <c r="A38" s="123"/>
      <c r="B38" s="3"/>
      <c r="C38" s="22"/>
      <c r="D38" s="23"/>
      <c r="E38" s="46"/>
      <c r="F38" s="17"/>
    </row>
    <row r="39" spans="1:6" x14ac:dyDescent="0.2">
      <c r="A39" s="123"/>
      <c r="B39" s="3"/>
      <c r="C39" s="22"/>
      <c r="D39" s="23"/>
      <c r="E39" s="46"/>
      <c r="F39" s="17"/>
    </row>
    <row r="40" spans="1:6" x14ac:dyDescent="0.2">
      <c r="A40" s="123"/>
      <c r="B40" s="3"/>
      <c r="C40" s="22"/>
      <c r="D40" s="23"/>
      <c r="E40" s="46"/>
      <c r="F40" s="17"/>
    </row>
    <row r="41" spans="1:6" x14ac:dyDescent="0.2">
      <c r="A41" s="123"/>
      <c r="B41" s="3"/>
      <c r="C41" s="22"/>
      <c r="D41" s="23"/>
      <c r="E41" s="46"/>
      <c r="F41" s="17"/>
    </row>
    <row r="42" spans="1:6" x14ac:dyDescent="0.2">
      <c r="A42" s="123"/>
      <c r="B42" s="3"/>
      <c r="C42" s="22"/>
      <c r="D42" s="23"/>
      <c r="E42" s="46"/>
      <c r="F42" s="17"/>
    </row>
    <row r="43" spans="1:6" x14ac:dyDescent="0.2">
      <c r="A43" s="123"/>
      <c r="B43" s="3"/>
      <c r="C43" s="22"/>
      <c r="D43" s="23"/>
      <c r="E43" s="46"/>
      <c r="F43" s="17"/>
    </row>
    <row r="44" spans="1:6" x14ac:dyDescent="0.2">
      <c r="A44" s="123"/>
      <c r="B44" s="3"/>
      <c r="C44" s="22"/>
      <c r="D44" s="23"/>
      <c r="E44" s="46"/>
      <c r="F44" s="17"/>
    </row>
    <row r="45" spans="1:6" x14ac:dyDescent="0.2">
      <c r="A45" s="123"/>
      <c r="B45" s="3"/>
      <c r="C45" s="22"/>
      <c r="D45" s="23"/>
      <c r="E45" s="46"/>
      <c r="F45" s="17"/>
    </row>
    <row r="46" spans="1:6" x14ac:dyDescent="0.2">
      <c r="A46" s="123"/>
      <c r="B46" s="3"/>
      <c r="C46" s="22"/>
      <c r="D46" s="23"/>
      <c r="E46" s="46"/>
      <c r="F46" s="17"/>
    </row>
    <row r="47" spans="1:6" x14ac:dyDescent="0.2">
      <c r="A47" s="123"/>
      <c r="B47" s="3"/>
      <c r="C47" s="22"/>
      <c r="D47" s="23"/>
      <c r="E47" s="46"/>
      <c r="F47" s="17"/>
    </row>
    <row r="48" spans="1:6" x14ac:dyDescent="0.2">
      <c r="A48" s="123"/>
      <c r="B48" s="3"/>
      <c r="C48" s="22"/>
      <c r="D48" s="23"/>
      <c r="E48" s="46"/>
      <c r="F48" s="17"/>
    </row>
    <row r="49" spans="1:6" x14ac:dyDescent="0.2">
      <c r="A49" s="123"/>
      <c r="B49" s="3"/>
      <c r="C49" s="22"/>
      <c r="D49" s="23"/>
      <c r="E49" s="46"/>
      <c r="F49" s="17"/>
    </row>
    <row r="50" spans="1:6" x14ac:dyDescent="0.2">
      <c r="A50" s="123"/>
      <c r="B50" s="3"/>
      <c r="C50" s="22"/>
      <c r="D50" s="23"/>
      <c r="E50" s="46"/>
      <c r="F50" s="17"/>
    </row>
    <row r="51" spans="1:6" x14ac:dyDescent="0.2">
      <c r="A51" s="123"/>
      <c r="B51" s="3"/>
      <c r="C51" s="22"/>
      <c r="D51" s="23"/>
      <c r="E51" s="46"/>
      <c r="F51" s="17"/>
    </row>
    <row r="52" spans="1:6" x14ac:dyDescent="0.2">
      <c r="A52" s="123"/>
      <c r="B52" s="3"/>
      <c r="C52" s="22"/>
      <c r="D52" s="23"/>
      <c r="E52" s="46"/>
      <c r="F52" s="17"/>
    </row>
    <row r="53" spans="1:6" x14ac:dyDescent="0.2">
      <c r="A53" s="123"/>
      <c r="B53" s="3"/>
      <c r="C53" s="22"/>
      <c r="D53" s="23"/>
      <c r="E53" s="46"/>
      <c r="F53" s="17"/>
    </row>
    <row r="54" spans="1:6" x14ac:dyDescent="0.2">
      <c r="A54" s="123"/>
      <c r="B54" s="3"/>
      <c r="C54" s="22"/>
      <c r="D54" s="23"/>
      <c r="E54" s="46"/>
      <c r="F54" s="17"/>
    </row>
    <row r="55" spans="1:6" x14ac:dyDescent="0.2">
      <c r="A55" s="123"/>
      <c r="B55" s="3"/>
      <c r="C55" s="22"/>
      <c r="D55" s="23"/>
      <c r="E55" s="46"/>
      <c r="F55" s="17"/>
    </row>
    <row r="56" spans="1:6" x14ac:dyDescent="0.2">
      <c r="A56" s="123"/>
      <c r="B56" s="3"/>
      <c r="C56" s="22"/>
      <c r="D56" s="23"/>
      <c r="E56" s="46"/>
      <c r="F56" s="17"/>
    </row>
    <row r="57" spans="1:6" x14ac:dyDescent="0.2">
      <c r="A57" s="123"/>
      <c r="B57" s="3"/>
      <c r="C57" s="22"/>
      <c r="D57" s="23"/>
      <c r="E57" s="46"/>
      <c r="F57" s="17"/>
    </row>
    <row r="58" spans="1:6" x14ac:dyDescent="0.2">
      <c r="A58" s="123"/>
      <c r="B58" s="3"/>
      <c r="C58" s="22"/>
      <c r="D58" s="23"/>
      <c r="E58" s="46"/>
      <c r="F58" s="17"/>
    </row>
    <row r="59" spans="1:6" x14ac:dyDescent="0.2">
      <c r="A59" s="123"/>
      <c r="B59" s="3"/>
      <c r="C59" s="22"/>
      <c r="D59" s="23"/>
      <c r="E59" s="46"/>
      <c r="F59" s="17"/>
    </row>
    <row r="60" spans="1:6" x14ac:dyDescent="0.2">
      <c r="A60" s="123"/>
      <c r="B60" s="3"/>
      <c r="C60" s="22"/>
      <c r="D60" s="23"/>
      <c r="E60" s="46"/>
      <c r="F60" s="17"/>
    </row>
    <row r="61" spans="1:6" x14ac:dyDescent="0.2">
      <c r="A61" s="123"/>
      <c r="B61" s="3"/>
      <c r="C61" s="22"/>
      <c r="D61" s="23"/>
      <c r="E61" s="46"/>
      <c r="F61" s="17"/>
    </row>
    <row r="62" spans="1:6" x14ac:dyDescent="0.2">
      <c r="A62" s="123"/>
      <c r="B62" s="3"/>
      <c r="C62" s="22"/>
      <c r="D62" s="23"/>
      <c r="E62" s="46"/>
      <c r="F62" s="17"/>
    </row>
    <row r="63" spans="1:6" ht="31.5" customHeight="1" x14ac:dyDescent="0.2">
      <c r="A63" s="121" t="str">
        <f>$B$10</f>
        <v>COMMERCIAL MATERIALS</v>
      </c>
      <c r="B63" s="32" t="s">
        <v>12</v>
      </c>
      <c r="C63" s="33"/>
      <c r="D63" s="34"/>
      <c r="E63" s="33"/>
      <c r="F63" s="35">
        <f>SUM(F9:F62)</f>
        <v>0</v>
      </c>
    </row>
  </sheetData>
  <mergeCells count="4">
    <mergeCell ref="D1:F1"/>
    <mergeCell ref="A4:E4"/>
    <mergeCell ref="F4:F7"/>
    <mergeCell ref="A5:E7"/>
  </mergeCells>
  <phoneticPr fontId="14" type="noConversion"/>
  <pageMargins left="0.70866141732283472" right="0.70866141732283472"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040F-9CB9-40C6-A573-6A4174BF17DF}">
  <sheetPr>
    <tabColor rgb="FF00B050"/>
  </sheetPr>
  <dimension ref="B1:J25"/>
  <sheetViews>
    <sheetView view="pageBreakPreview" zoomScaleNormal="125" zoomScaleSheetLayoutView="100" zoomScalePageLayoutView="125" workbookViewId="0">
      <selection activeCell="F16" sqref="F16:F19"/>
    </sheetView>
  </sheetViews>
  <sheetFormatPr defaultColWidth="6.85546875" defaultRowHeight="12.75" x14ac:dyDescent="0.2"/>
  <cols>
    <col min="1" max="1" width="0.85546875" style="80" customWidth="1"/>
    <col min="2" max="2" width="11.7109375" style="54" customWidth="1"/>
    <col min="3" max="3" width="45.7109375" style="53" customWidth="1"/>
    <col min="4" max="4" width="13.7109375" style="222" customWidth="1"/>
    <col min="5" max="5" width="15.7109375" style="222" customWidth="1"/>
    <col min="6" max="6" width="15.7109375" style="80" customWidth="1"/>
    <col min="7" max="7" width="15.7109375" style="277" customWidth="1"/>
    <col min="8" max="8" width="0.85546875" style="277" customWidth="1"/>
    <col min="9" max="9" width="6.85546875" style="80"/>
    <col min="10" max="10" width="7.42578125" style="80" bestFit="1" customWidth="1"/>
    <col min="11" max="16384" width="6.85546875" style="80"/>
  </cols>
  <sheetData>
    <row r="1" spans="2:8" x14ac:dyDescent="0.2">
      <c r="G1" s="384">
        <f>SUM(G10:G24)</f>
        <v>0</v>
      </c>
    </row>
    <row r="2" spans="2:8" ht="12" customHeight="1" x14ac:dyDescent="0.2">
      <c r="B2" s="692" t="str">
        <f>Client1</f>
        <v>Province of KwaZulu-Natal</v>
      </c>
      <c r="C2" s="692"/>
      <c r="E2" s="707" t="str">
        <f>"Contract No. "&amp;ContractNo</f>
        <v>Contract No. ZNB02287/00000/00/MET/INF/24/T</v>
      </c>
      <c r="F2" s="707"/>
      <c r="G2" s="707"/>
    </row>
    <row r="3" spans="2:8" x14ac:dyDescent="0.2">
      <c r="B3" s="708" t="str">
        <f>Client2</f>
        <v>Department of Transport</v>
      </c>
      <c r="C3" s="708"/>
    </row>
    <row r="4" spans="2:8" x14ac:dyDescent="0.2">
      <c r="B4" s="83"/>
      <c r="C4" s="83"/>
      <c r="D4" s="258"/>
      <c r="E4" s="258"/>
      <c r="F4" s="385"/>
      <c r="G4" s="386"/>
    </row>
    <row r="5" spans="2:8" ht="12.75" customHeight="1" x14ac:dyDescent="0.2">
      <c r="B5" s="709" t="s">
        <v>8</v>
      </c>
      <c r="C5" s="710"/>
      <c r="D5" s="710"/>
      <c r="E5" s="710"/>
      <c r="F5" s="710"/>
      <c r="G5" s="695" t="str">
        <f>"CHAPTER "&amp;B11</f>
        <v>CHAPTER C5.2</v>
      </c>
      <c r="H5" s="55"/>
    </row>
    <row r="6" spans="2:8"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8" ht="12.75" customHeight="1" x14ac:dyDescent="0.2">
      <c r="B7" s="691"/>
      <c r="C7" s="692"/>
      <c r="D7" s="692"/>
      <c r="E7" s="692"/>
      <c r="F7" s="692"/>
      <c r="G7" s="696"/>
      <c r="H7" s="8"/>
    </row>
    <row r="8" spans="2:8" ht="7.5" customHeight="1" x14ac:dyDescent="0.2">
      <c r="B8" s="693"/>
      <c r="C8" s="694"/>
      <c r="D8" s="694"/>
      <c r="E8" s="694"/>
      <c r="F8" s="694"/>
      <c r="G8" s="697"/>
      <c r="H8" s="8"/>
    </row>
    <row r="9" spans="2:8" s="12" customFormat="1" ht="24.95" customHeight="1" x14ac:dyDescent="0.2">
      <c r="B9" s="10" t="s">
        <v>0</v>
      </c>
      <c r="C9" s="11" t="s">
        <v>1</v>
      </c>
      <c r="D9" s="11" t="s">
        <v>2</v>
      </c>
      <c r="E9" s="11" t="s">
        <v>3</v>
      </c>
      <c r="F9" s="11" t="s">
        <v>4</v>
      </c>
      <c r="G9" s="11" t="s">
        <v>5</v>
      </c>
    </row>
    <row r="10" spans="2:8" x14ac:dyDescent="0.2">
      <c r="B10" s="51"/>
      <c r="C10" s="14"/>
      <c r="D10" s="15"/>
      <c r="E10" s="15"/>
      <c r="F10" s="40"/>
      <c r="G10" s="40" t="str">
        <f t="shared" ref="G10:G19" si="0">IF(D10="","",E10*F10)</f>
        <v/>
      </c>
      <c r="H10" s="18"/>
    </row>
    <row r="11" spans="2:8" x14ac:dyDescent="0.2">
      <c r="B11" s="67" t="s">
        <v>953</v>
      </c>
      <c r="C11" s="20" t="s">
        <v>952</v>
      </c>
      <c r="D11" s="22"/>
      <c r="E11" s="22"/>
      <c r="F11" s="40"/>
      <c r="G11" s="40" t="str">
        <f t="shared" si="0"/>
        <v/>
      </c>
      <c r="H11" s="42"/>
    </row>
    <row r="12" spans="2:8" x14ac:dyDescent="0.2">
      <c r="B12" s="51"/>
      <c r="C12" s="14"/>
      <c r="D12" s="22"/>
      <c r="E12" s="22"/>
      <c r="F12" s="40"/>
      <c r="G12" s="40" t="str">
        <f t="shared" si="0"/>
        <v/>
      </c>
      <c r="H12" s="42"/>
    </row>
    <row r="13" spans="2:8" ht="25.5" x14ac:dyDescent="0.2">
      <c r="B13" s="51" t="s">
        <v>954</v>
      </c>
      <c r="C13" s="14" t="s">
        <v>955</v>
      </c>
      <c r="D13" s="22"/>
      <c r="E13" s="22"/>
      <c r="F13" s="40"/>
      <c r="G13" s="40"/>
      <c r="H13" s="42"/>
    </row>
    <row r="14" spans="2:8" ht="25.5" x14ac:dyDescent="0.2">
      <c r="B14" s="51" t="s">
        <v>956</v>
      </c>
      <c r="C14" s="14" t="s">
        <v>957</v>
      </c>
      <c r="D14" s="22"/>
      <c r="E14" s="22"/>
      <c r="F14" s="40"/>
      <c r="G14" s="40"/>
      <c r="H14" s="42"/>
    </row>
    <row r="15" spans="2:8" x14ac:dyDescent="0.2">
      <c r="B15" s="51"/>
      <c r="C15" s="14"/>
      <c r="D15" s="22"/>
      <c r="E15" s="22"/>
      <c r="F15" s="40"/>
      <c r="G15" s="40"/>
      <c r="H15" s="42"/>
    </row>
    <row r="16" spans="2:8" x14ac:dyDescent="0.2">
      <c r="B16" s="51"/>
      <c r="C16" s="14" t="s">
        <v>958</v>
      </c>
      <c r="D16" s="22" t="s">
        <v>181</v>
      </c>
      <c r="E16" s="22">
        <v>1800</v>
      </c>
      <c r="F16" s="40"/>
      <c r="G16" s="25">
        <f t="shared" si="0"/>
        <v>0</v>
      </c>
      <c r="H16" s="42"/>
    </row>
    <row r="17" spans="2:10" x14ac:dyDescent="0.2">
      <c r="B17" s="51"/>
      <c r="C17" s="14"/>
      <c r="D17" s="22"/>
      <c r="E17" s="22"/>
      <c r="F17" s="40"/>
      <c r="G17" s="25" t="str">
        <f t="shared" si="0"/>
        <v/>
      </c>
      <c r="H17" s="42"/>
    </row>
    <row r="18" spans="2:10" x14ac:dyDescent="0.2">
      <c r="B18" s="67" t="s">
        <v>959</v>
      </c>
      <c r="C18" s="20" t="s">
        <v>960</v>
      </c>
      <c r="D18" s="22" t="s">
        <v>181</v>
      </c>
      <c r="E18" s="22">
        <v>100</v>
      </c>
      <c r="F18" s="16"/>
      <c r="G18" s="25">
        <f t="shared" si="0"/>
        <v>0</v>
      </c>
      <c r="H18" s="42"/>
      <c r="J18" s="80">
        <f>8.4*20900*0.15</f>
        <v>26334</v>
      </c>
    </row>
    <row r="19" spans="2:10" x14ac:dyDescent="0.2">
      <c r="B19" s="51"/>
      <c r="C19" s="14"/>
      <c r="D19" s="22"/>
      <c r="E19" s="22"/>
      <c r="F19" s="16"/>
      <c r="G19" s="25" t="str">
        <f t="shared" si="0"/>
        <v/>
      </c>
      <c r="H19" s="42"/>
    </row>
    <row r="20" spans="2:10" x14ac:dyDescent="0.2">
      <c r="B20" s="51"/>
      <c r="C20" s="14"/>
      <c r="D20" s="22"/>
      <c r="E20" s="23"/>
      <c r="F20" s="16"/>
      <c r="G20" s="25"/>
      <c r="H20" s="43"/>
    </row>
    <row r="21" spans="2:10" x14ac:dyDescent="0.2">
      <c r="B21" s="51"/>
      <c r="C21" s="14"/>
      <c r="D21" s="22"/>
      <c r="E21" s="22"/>
      <c r="F21" s="16"/>
      <c r="G21" s="25"/>
      <c r="H21" s="42"/>
    </row>
    <row r="22" spans="2:10" x14ac:dyDescent="0.2">
      <c r="B22" s="51"/>
      <c r="C22" s="14"/>
      <c r="D22" s="22"/>
      <c r="E22" s="22"/>
      <c r="F22" s="16"/>
      <c r="G22" s="25"/>
      <c r="H22" s="42"/>
    </row>
    <row r="23" spans="2:10" x14ac:dyDescent="0.2">
      <c r="B23" s="51"/>
      <c r="C23" s="14"/>
      <c r="D23" s="22"/>
      <c r="E23" s="22"/>
      <c r="F23" s="16"/>
      <c r="G23" s="25"/>
      <c r="H23" s="42"/>
    </row>
    <row r="24" spans="2:10" x14ac:dyDescent="0.2">
      <c r="B24" s="51"/>
      <c r="C24" s="14"/>
      <c r="D24" s="22"/>
      <c r="E24" s="22"/>
      <c r="F24" s="16"/>
      <c r="G24" s="25"/>
      <c r="H24" s="42"/>
    </row>
    <row r="25" spans="2:10" s="30" customFormat="1" ht="19.5" customHeight="1" x14ac:dyDescent="0.2">
      <c r="B25" s="121" t="s">
        <v>1084</v>
      </c>
      <c r="C25" s="32" t="str">
        <f>"TOTAL CARRIED FORWARD"&amp;IF(G25=G$1," TO SUMMARY (Page C"&amp;Page_A&amp;")","")</f>
        <v>TOTAL CARRIED FORWARD TO SUMMARY (Page C49)</v>
      </c>
      <c r="D25" s="33"/>
      <c r="E25" s="34"/>
      <c r="F25" s="33"/>
      <c r="G25" s="352">
        <f>SUM(G10:G24)</f>
        <v>0</v>
      </c>
      <c r="H25" s="36"/>
    </row>
  </sheetData>
  <mergeCells count="6">
    <mergeCell ref="B2:C2"/>
    <mergeCell ref="E2:G2"/>
    <mergeCell ref="B3:C3"/>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1AC0D19-1419-4AF1-B184-57FED93A1391}">
            <xm:f>AND(Information!$C$8=FALSE,$D22&lt;&gt;"P C Sum",$D22&lt;&gt;"PC Sum",$D22&lt;&gt;"P Sum",$D22&lt;&gt;"Prov Sum")</xm:f>
            <x14:dxf>
              <font>
                <strike val="0"/>
                <color theme="0"/>
              </font>
              <numFmt numFmtId="4" formatCode="#,##0.00"/>
            </x14:dxf>
          </x14:cfRule>
          <xm:sqref>F22:G23</xm:sqref>
        </x14:conditionalFormatting>
        <x14:conditionalFormatting xmlns:xm="http://schemas.microsoft.com/office/excel/2006/main">
          <x14:cfRule type="expression" priority="2" id="{E7966CC6-AA50-4EBA-A610-D06DE89D3C7A}">
            <xm:f>AND(Information!$C$8=FALSE,$D25&lt;&gt;"P C Sum",$D25&lt;&gt;"PC Sum",$D25&lt;&gt;"P Sum",$D25&lt;&gt;"Prov Sum")</xm:f>
            <x14:dxf>
              <font>
                <strike val="0"/>
                <color theme="0"/>
              </font>
              <numFmt numFmtId="4" formatCode="#,##0.00"/>
            </x14:dxf>
          </x14:cfRule>
          <xm:sqref>G25</xm:sqref>
        </x14:conditionalFormatting>
        <x14:conditionalFormatting xmlns:xm="http://schemas.microsoft.com/office/excel/2006/main">
          <x14:cfRule type="expression" priority="1" id="{08696707-51AF-4A79-A506-B85F1B11EBFB}">
            <xm:f>AND(Information!$C$8=FALSE,$D20&lt;&gt;"P C Sum",$D20&lt;&gt;"PC Sum",$D20&lt;&gt;"P Sum",$D20&lt;&gt;"Prov Sum")</xm:f>
            <x14:dxf>
              <font>
                <strike val="0"/>
                <color theme="0"/>
              </font>
              <numFmt numFmtId="4" formatCode="#,##0.00"/>
            </x14:dxf>
          </x14:cfRule>
          <xm:sqref>F20:G20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C0D5-F6FE-4E1F-9718-204874D2F7DE}">
  <sheetPr>
    <tabColor rgb="FF00B050"/>
  </sheetPr>
  <dimension ref="B1:H66"/>
  <sheetViews>
    <sheetView view="pageBreakPreview" zoomScaleNormal="125" zoomScaleSheetLayoutView="100" zoomScalePageLayoutView="125" workbookViewId="0">
      <selection activeCell="F15" sqref="F15"/>
    </sheetView>
  </sheetViews>
  <sheetFormatPr defaultColWidth="6.85546875" defaultRowHeight="12.75" x14ac:dyDescent="0.2"/>
  <cols>
    <col min="1" max="1" width="0.85546875" style="1" customWidth="1"/>
    <col min="2" max="2" width="10.5703125" style="37" customWidth="1"/>
    <col min="3" max="3" width="37.140625" style="53" customWidth="1"/>
    <col min="4" max="5" width="13.140625" style="4" customWidth="1"/>
    <col min="6" max="6" width="13.140625" style="1" customWidth="1"/>
    <col min="7" max="7" width="15.7109375" style="5" customWidth="1"/>
    <col min="8" max="8" width="0.85546875" style="5" customWidth="1"/>
    <col min="9" max="16384" width="6.85546875" style="1"/>
  </cols>
  <sheetData>
    <row r="1" spans="2:8" x14ac:dyDescent="0.2">
      <c r="G1" s="50">
        <f>SUM(G10:G65)</f>
        <v>0</v>
      </c>
    </row>
    <row r="2" spans="2:8" x14ac:dyDescent="0.2">
      <c r="B2" s="2" t="str">
        <f>Client1</f>
        <v>Province of KwaZulu-Natal</v>
      </c>
      <c r="E2" s="703" t="str">
        <f>"Contract No. "&amp;ContractNo</f>
        <v>Contract No. ZNB02287/00000/00/MET/INF/24/T</v>
      </c>
      <c r="F2" s="703"/>
      <c r="G2" s="703"/>
    </row>
    <row r="3" spans="2:8" x14ac:dyDescent="0.2">
      <c r="B3" s="81" t="str">
        <f>Client2</f>
        <v>Department of Transport</v>
      </c>
    </row>
    <row r="4" spans="2:8" x14ac:dyDescent="0.2">
      <c r="B4" s="71"/>
      <c r="C4" s="83"/>
      <c r="D4" s="72"/>
      <c r="E4" s="72"/>
      <c r="F4" s="73"/>
      <c r="G4" s="82"/>
    </row>
    <row r="5" spans="2:8" x14ac:dyDescent="0.2">
      <c r="B5" s="698" t="s">
        <v>8</v>
      </c>
      <c r="C5" s="699"/>
      <c r="D5" s="699"/>
      <c r="E5" s="699"/>
      <c r="F5" s="699"/>
      <c r="G5" s="700" t="str">
        <f>"CHAPTER "&amp;B11</f>
        <v>CHAPTER C8.1</v>
      </c>
      <c r="H5" s="6"/>
    </row>
    <row r="6" spans="2:8"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701"/>
      <c r="H6" s="8"/>
    </row>
    <row r="7" spans="2:8" ht="12.75" customHeight="1" x14ac:dyDescent="0.2">
      <c r="B7" s="691"/>
      <c r="C7" s="692"/>
      <c r="D7" s="692"/>
      <c r="E7" s="692"/>
      <c r="F7" s="692"/>
      <c r="G7" s="701"/>
      <c r="H7" s="8"/>
    </row>
    <row r="8" spans="2:8" ht="7.5" customHeight="1" x14ac:dyDescent="0.2">
      <c r="B8" s="693"/>
      <c r="C8" s="694"/>
      <c r="D8" s="694"/>
      <c r="E8" s="694"/>
      <c r="F8" s="694"/>
      <c r="G8" s="702"/>
      <c r="H8" s="8"/>
    </row>
    <row r="9" spans="2:8" s="9" customFormat="1" ht="24.95" customHeight="1" x14ac:dyDescent="0.2">
      <c r="B9" s="10" t="s">
        <v>0</v>
      </c>
      <c r="C9" s="11" t="s">
        <v>1</v>
      </c>
      <c r="D9" s="11" t="s">
        <v>2</v>
      </c>
      <c r="E9" s="11" t="s">
        <v>3</v>
      </c>
      <c r="F9" s="11" t="s">
        <v>4</v>
      </c>
      <c r="G9" s="11" t="s">
        <v>5</v>
      </c>
      <c r="H9" s="12"/>
    </row>
    <row r="10" spans="2:8" x14ac:dyDescent="0.2">
      <c r="B10" s="13"/>
      <c r="C10" s="14"/>
      <c r="D10" s="15"/>
      <c r="E10" s="15"/>
      <c r="F10" s="40"/>
      <c r="G10" s="40" t="str">
        <f t="shared" ref="G10:G36" si="0">IF(D10="","",E10*F10)</f>
        <v/>
      </c>
      <c r="H10" s="18"/>
    </row>
    <row r="11" spans="2:8" x14ac:dyDescent="0.2">
      <c r="B11" s="67" t="s">
        <v>961</v>
      </c>
      <c r="C11" s="20" t="s">
        <v>962</v>
      </c>
      <c r="D11" s="22"/>
      <c r="E11" s="22"/>
      <c r="F11" s="40"/>
      <c r="G11" s="40" t="str">
        <f t="shared" si="0"/>
        <v/>
      </c>
      <c r="H11" s="42"/>
    </row>
    <row r="12" spans="2:8" x14ac:dyDescent="0.2">
      <c r="B12" s="51"/>
      <c r="C12" s="14"/>
      <c r="D12" s="22"/>
      <c r="E12" s="22"/>
      <c r="F12" s="40"/>
      <c r="G12" s="40" t="str">
        <f t="shared" si="0"/>
        <v/>
      </c>
      <c r="H12" s="42"/>
    </row>
    <row r="13" spans="2:8" x14ac:dyDescent="0.2">
      <c r="B13" s="51" t="s">
        <v>963</v>
      </c>
      <c r="C13" s="14" t="s">
        <v>964</v>
      </c>
      <c r="D13" s="22"/>
      <c r="E13" s="23"/>
      <c r="F13" s="40"/>
      <c r="G13" s="40" t="str">
        <f t="shared" si="0"/>
        <v/>
      </c>
      <c r="H13" s="43"/>
    </row>
    <row r="14" spans="2:8" x14ac:dyDescent="0.2">
      <c r="B14" s="51"/>
      <c r="C14" s="14"/>
      <c r="D14" s="22"/>
      <c r="E14" s="23"/>
      <c r="F14" s="40"/>
      <c r="G14" s="40" t="str">
        <f t="shared" si="0"/>
        <v/>
      </c>
      <c r="H14" s="43"/>
    </row>
    <row r="15" spans="2:8" x14ac:dyDescent="0.2">
      <c r="B15" s="51" t="s">
        <v>965</v>
      </c>
      <c r="C15" s="14" t="s">
        <v>966</v>
      </c>
      <c r="D15" s="22" t="s">
        <v>133</v>
      </c>
      <c r="E15" s="23">
        <v>6286</v>
      </c>
      <c r="F15" s="16"/>
      <c r="G15" s="25">
        <f t="shared" si="0"/>
        <v>0</v>
      </c>
      <c r="H15" s="43"/>
    </row>
    <row r="16" spans="2:8" x14ac:dyDescent="0.2">
      <c r="B16" s="51"/>
      <c r="C16" s="14"/>
      <c r="D16" s="22"/>
      <c r="E16" s="23"/>
      <c r="F16" s="16"/>
      <c r="G16" s="25" t="str">
        <f t="shared" si="0"/>
        <v/>
      </c>
    </row>
    <row r="17" spans="2:7" x14ac:dyDescent="0.2">
      <c r="B17" s="51"/>
      <c r="C17" s="14"/>
      <c r="D17" s="22"/>
      <c r="E17" s="23"/>
      <c r="F17" s="16"/>
      <c r="G17" s="25"/>
    </row>
    <row r="18" spans="2:7" x14ac:dyDescent="0.2">
      <c r="B18" s="51"/>
      <c r="C18" s="14"/>
      <c r="D18" s="22"/>
      <c r="E18" s="23"/>
      <c r="F18" s="16"/>
      <c r="G18" s="25"/>
    </row>
    <row r="19" spans="2:7" x14ac:dyDescent="0.2">
      <c r="B19" s="51"/>
      <c r="C19" s="14"/>
      <c r="D19" s="22"/>
      <c r="E19" s="23"/>
      <c r="F19" s="16"/>
      <c r="G19" s="25"/>
    </row>
    <row r="20" spans="2:7" x14ac:dyDescent="0.2">
      <c r="B20" s="51"/>
      <c r="C20" s="14"/>
      <c r="D20" s="22"/>
      <c r="E20" s="23"/>
      <c r="F20" s="16"/>
      <c r="G20" s="25"/>
    </row>
    <row r="21" spans="2:7" x14ac:dyDescent="0.2">
      <c r="B21" s="51"/>
      <c r="C21" s="14"/>
      <c r="D21" s="22"/>
      <c r="E21" s="23"/>
      <c r="F21" s="16"/>
      <c r="G21" s="25"/>
    </row>
    <row r="22" spans="2:7" x14ac:dyDescent="0.2">
      <c r="B22" s="51"/>
      <c r="C22" s="14"/>
      <c r="D22" s="22"/>
      <c r="E22" s="23"/>
      <c r="F22" s="16"/>
      <c r="G22" s="25"/>
    </row>
    <row r="23" spans="2:7" x14ac:dyDescent="0.2">
      <c r="B23" s="51"/>
      <c r="C23" s="14"/>
      <c r="D23" s="22"/>
      <c r="E23" s="23"/>
      <c r="F23" s="16"/>
      <c r="G23" s="25"/>
    </row>
    <row r="24" spans="2:7" x14ac:dyDescent="0.2">
      <c r="B24" s="51"/>
      <c r="C24" s="14"/>
      <c r="D24" s="22"/>
      <c r="E24" s="23"/>
      <c r="F24" s="16"/>
      <c r="G24" s="25"/>
    </row>
    <row r="25" spans="2:7" x14ac:dyDescent="0.2">
      <c r="B25" s="51"/>
      <c r="C25" s="14"/>
      <c r="D25" s="22"/>
      <c r="E25" s="23"/>
      <c r="F25" s="16"/>
      <c r="G25" s="25"/>
    </row>
    <row r="26" spans="2:7" x14ac:dyDescent="0.2">
      <c r="B26" s="51"/>
      <c r="C26" s="14"/>
      <c r="D26" s="22"/>
      <c r="E26" s="23"/>
      <c r="F26" s="16"/>
      <c r="G26" s="25"/>
    </row>
    <row r="27" spans="2:7" x14ac:dyDescent="0.2">
      <c r="B27" s="51"/>
      <c r="C27" s="14"/>
      <c r="D27" s="22"/>
      <c r="E27" s="23"/>
      <c r="F27" s="16"/>
      <c r="G27" s="25"/>
    </row>
    <row r="28" spans="2:7" x14ac:dyDescent="0.2">
      <c r="B28" s="51"/>
      <c r="C28" s="14"/>
      <c r="D28" s="22"/>
      <c r="E28" s="23"/>
      <c r="F28" s="16"/>
      <c r="G28" s="25"/>
    </row>
    <row r="29" spans="2:7" x14ac:dyDescent="0.2">
      <c r="B29" s="51"/>
      <c r="C29" s="14"/>
      <c r="D29" s="22"/>
      <c r="E29" s="23"/>
      <c r="F29" s="16"/>
      <c r="G29" s="25"/>
    </row>
    <row r="30" spans="2:7" x14ac:dyDescent="0.2">
      <c r="B30" s="51"/>
      <c r="C30" s="14"/>
      <c r="D30" s="22"/>
      <c r="E30" s="23"/>
      <c r="F30" s="16"/>
      <c r="G30" s="25"/>
    </row>
    <row r="31" spans="2:7" x14ac:dyDescent="0.2">
      <c r="B31" s="51"/>
      <c r="C31" s="14"/>
      <c r="D31" s="22"/>
      <c r="E31" s="23"/>
      <c r="F31" s="16"/>
      <c r="G31" s="25"/>
    </row>
    <row r="32" spans="2:7" x14ac:dyDescent="0.2">
      <c r="B32" s="51"/>
      <c r="C32" s="14"/>
      <c r="D32" s="22"/>
      <c r="E32" s="23"/>
      <c r="F32" s="16"/>
      <c r="G32" s="25"/>
    </row>
    <row r="33" spans="2:8" x14ac:dyDescent="0.2">
      <c r="B33" s="51"/>
      <c r="C33" s="14"/>
      <c r="D33" s="22"/>
      <c r="E33" s="23"/>
      <c r="F33" s="16"/>
      <c r="G33" s="25"/>
    </row>
    <row r="34" spans="2:8" x14ac:dyDescent="0.2">
      <c r="B34" s="51"/>
      <c r="C34" s="14"/>
      <c r="D34" s="22"/>
      <c r="E34" s="23"/>
      <c r="F34" s="16"/>
      <c r="G34" s="25"/>
    </row>
    <row r="35" spans="2:8" x14ac:dyDescent="0.2">
      <c r="B35" s="51"/>
      <c r="C35" s="14"/>
      <c r="D35" s="22"/>
      <c r="E35" s="23"/>
      <c r="F35" s="16"/>
      <c r="G35" s="25"/>
    </row>
    <row r="36" spans="2:8" x14ac:dyDescent="0.2">
      <c r="B36" s="51"/>
      <c r="C36" s="14"/>
      <c r="D36" s="22"/>
      <c r="E36" s="23"/>
      <c r="F36" s="16"/>
      <c r="G36" s="25" t="str">
        <f t="shared" si="0"/>
        <v/>
      </c>
    </row>
    <row r="37" spans="2:8" x14ac:dyDescent="0.2">
      <c r="B37" s="51"/>
      <c r="C37" s="14"/>
      <c r="D37" s="22"/>
      <c r="E37" s="23"/>
      <c r="F37" s="16"/>
      <c r="G37" s="25"/>
      <c r="H37" s="43"/>
    </row>
    <row r="38" spans="2:8" x14ac:dyDescent="0.2">
      <c r="B38" s="51"/>
      <c r="C38" s="14"/>
      <c r="D38" s="22"/>
      <c r="E38" s="23"/>
      <c r="F38" s="16"/>
      <c r="G38" s="25"/>
      <c r="H38" s="43"/>
    </row>
    <row r="39" spans="2:8" x14ac:dyDescent="0.2">
      <c r="B39" s="51"/>
      <c r="C39" s="14"/>
      <c r="D39" s="22"/>
      <c r="E39" s="23"/>
      <c r="F39" s="16"/>
      <c r="G39" s="25"/>
      <c r="H39" s="43"/>
    </row>
    <row r="40" spans="2:8" x14ac:dyDescent="0.2">
      <c r="B40" s="51"/>
      <c r="C40" s="14"/>
      <c r="D40" s="22"/>
      <c r="E40" s="23"/>
      <c r="F40" s="16"/>
      <c r="G40" s="25"/>
      <c r="H40" s="43"/>
    </row>
    <row r="41" spans="2:8" x14ac:dyDescent="0.2">
      <c r="B41" s="51"/>
      <c r="C41" s="14"/>
      <c r="D41" s="22"/>
      <c r="E41" s="23"/>
      <c r="F41" s="16"/>
      <c r="G41" s="25"/>
      <c r="H41" s="43"/>
    </row>
    <row r="42" spans="2:8" x14ac:dyDescent="0.2">
      <c r="B42" s="51"/>
      <c r="C42" s="14"/>
      <c r="D42" s="22"/>
      <c r="E42" s="23"/>
      <c r="F42" s="16"/>
      <c r="G42" s="25"/>
      <c r="H42" s="43"/>
    </row>
    <row r="43" spans="2:8" x14ac:dyDescent="0.2">
      <c r="B43" s="51"/>
      <c r="C43" s="14"/>
      <c r="D43" s="22"/>
      <c r="E43" s="23"/>
      <c r="F43" s="16"/>
      <c r="G43" s="25"/>
      <c r="H43" s="43"/>
    </row>
    <row r="44" spans="2:8" x14ac:dyDescent="0.2">
      <c r="B44" s="51"/>
      <c r="C44" s="14"/>
      <c r="D44" s="22"/>
      <c r="E44" s="23"/>
      <c r="F44" s="16"/>
      <c r="G44" s="25"/>
      <c r="H44" s="43"/>
    </row>
    <row r="45" spans="2:8" x14ac:dyDescent="0.2">
      <c r="B45" s="51"/>
      <c r="C45" s="14"/>
      <c r="D45" s="22"/>
      <c r="E45" s="23"/>
      <c r="F45" s="16"/>
      <c r="G45" s="25"/>
      <c r="H45" s="43"/>
    </row>
    <row r="46" spans="2:8" x14ac:dyDescent="0.2">
      <c r="B46" s="51"/>
      <c r="C46" s="14"/>
      <c r="D46" s="22"/>
      <c r="E46" s="23"/>
      <c r="F46" s="16"/>
      <c r="G46" s="25"/>
      <c r="H46" s="43"/>
    </row>
    <row r="47" spans="2:8" x14ac:dyDescent="0.2">
      <c r="B47" s="51"/>
      <c r="C47" s="14"/>
      <c r="D47" s="22"/>
      <c r="E47" s="23"/>
      <c r="F47" s="16"/>
      <c r="G47" s="25"/>
      <c r="H47" s="43"/>
    </row>
    <row r="48" spans="2:8" x14ac:dyDescent="0.2">
      <c r="B48" s="51"/>
      <c r="C48" s="14"/>
      <c r="D48" s="22"/>
      <c r="E48" s="23"/>
      <c r="F48" s="16"/>
      <c r="G48" s="25"/>
      <c r="H48" s="43"/>
    </row>
    <row r="49" spans="2:8" x14ac:dyDescent="0.2">
      <c r="B49" s="51"/>
      <c r="C49" s="14"/>
      <c r="D49" s="22"/>
      <c r="E49" s="23"/>
      <c r="F49" s="16"/>
      <c r="G49" s="25"/>
      <c r="H49" s="43"/>
    </row>
    <row r="50" spans="2:8" x14ac:dyDescent="0.2">
      <c r="B50" s="51"/>
      <c r="C50" s="14"/>
      <c r="D50" s="22"/>
      <c r="E50" s="23"/>
      <c r="F50" s="16"/>
      <c r="G50" s="25"/>
      <c r="H50" s="43"/>
    </row>
    <row r="51" spans="2:8" x14ac:dyDescent="0.2">
      <c r="B51" s="51"/>
      <c r="C51" s="14"/>
      <c r="D51" s="22"/>
      <c r="E51" s="23"/>
      <c r="F51" s="16"/>
      <c r="G51" s="25"/>
      <c r="H51" s="43"/>
    </row>
    <row r="52" spans="2:8" x14ac:dyDescent="0.2">
      <c r="B52" s="51"/>
      <c r="C52" s="14"/>
      <c r="D52" s="22"/>
      <c r="E52" s="23"/>
      <c r="F52" s="16"/>
      <c r="G52" s="25"/>
      <c r="H52" s="43"/>
    </row>
    <row r="53" spans="2:8" x14ac:dyDescent="0.2">
      <c r="B53" s="51"/>
      <c r="C53" s="14"/>
      <c r="D53" s="22"/>
      <c r="E53" s="23"/>
      <c r="F53" s="16"/>
      <c r="G53" s="25"/>
      <c r="H53" s="43"/>
    </row>
    <row r="54" spans="2:8" x14ac:dyDescent="0.2">
      <c r="B54" s="51"/>
      <c r="C54" s="14"/>
      <c r="D54" s="22"/>
      <c r="E54" s="23"/>
      <c r="F54" s="16"/>
      <c r="G54" s="25"/>
      <c r="H54" s="43"/>
    </row>
    <row r="55" spans="2:8" x14ac:dyDescent="0.2">
      <c r="B55" s="51"/>
      <c r="C55" s="14"/>
      <c r="D55" s="22"/>
      <c r="E55" s="23"/>
      <c r="F55" s="16"/>
      <c r="G55" s="25"/>
      <c r="H55" s="43"/>
    </row>
    <row r="56" spans="2:8" x14ac:dyDescent="0.2">
      <c r="B56" s="51"/>
      <c r="C56" s="14"/>
      <c r="D56" s="22"/>
      <c r="E56" s="23"/>
      <c r="F56" s="16"/>
      <c r="G56" s="25"/>
      <c r="H56" s="43"/>
    </row>
    <row r="57" spans="2:8" x14ac:dyDescent="0.2">
      <c r="B57" s="51"/>
      <c r="C57" s="14"/>
      <c r="D57" s="22"/>
      <c r="E57" s="23"/>
      <c r="F57" s="16"/>
      <c r="G57" s="25"/>
      <c r="H57" s="43"/>
    </row>
    <row r="58" spans="2:8" x14ac:dyDescent="0.2">
      <c r="B58" s="51"/>
      <c r="C58" s="14"/>
      <c r="D58" s="22"/>
      <c r="E58" s="23"/>
      <c r="F58" s="16"/>
      <c r="G58" s="25"/>
      <c r="H58" s="43"/>
    </row>
    <row r="59" spans="2:8" x14ac:dyDescent="0.2">
      <c r="B59" s="51"/>
      <c r="C59" s="14"/>
      <c r="D59" s="22"/>
      <c r="E59" s="23"/>
      <c r="F59" s="16"/>
      <c r="G59" s="25"/>
      <c r="H59" s="43"/>
    </row>
    <row r="60" spans="2:8" x14ac:dyDescent="0.2">
      <c r="B60" s="51"/>
      <c r="C60" s="14"/>
      <c r="D60" s="22"/>
      <c r="E60" s="23"/>
      <c r="F60" s="16"/>
      <c r="G60" s="25"/>
      <c r="H60" s="43"/>
    </row>
    <row r="61" spans="2:8" x14ac:dyDescent="0.2">
      <c r="B61" s="51"/>
      <c r="C61" s="14"/>
      <c r="D61" s="22"/>
      <c r="E61" s="23"/>
      <c r="F61" s="16"/>
      <c r="G61" s="25"/>
      <c r="H61" s="43"/>
    </row>
    <row r="62" spans="2:8" x14ac:dyDescent="0.2">
      <c r="B62" s="51"/>
      <c r="C62" s="14"/>
      <c r="D62" s="22"/>
      <c r="E62" s="23"/>
      <c r="F62" s="16"/>
      <c r="G62" s="25"/>
      <c r="H62" s="43"/>
    </row>
    <row r="63" spans="2:8" x14ac:dyDescent="0.2">
      <c r="B63" s="51"/>
      <c r="C63" s="14"/>
      <c r="D63" s="22"/>
      <c r="E63" s="23"/>
      <c r="F63" s="16"/>
      <c r="G63" s="25"/>
      <c r="H63" s="43"/>
    </row>
    <row r="64" spans="2:8" x14ac:dyDescent="0.2">
      <c r="B64" s="51"/>
      <c r="C64" s="14"/>
      <c r="D64" s="22"/>
      <c r="E64" s="23"/>
      <c r="F64" s="16"/>
      <c r="G64" s="25"/>
      <c r="H64" s="43"/>
    </row>
    <row r="65" spans="2:8" x14ac:dyDescent="0.2">
      <c r="B65" s="51"/>
      <c r="C65" s="14"/>
      <c r="D65" s="22"/>
      <c r="E65" s="23"/>
      <c r="F65" s="16"/>
      <c r="G65" s="25"/>
      <c r="H65" s="43"/>
    </row>
    <row r="66" spans="2:8" s="30" customFormat="1" ht="29.45" customHeight="1" x14ac:dyDescent="0.2">
      <c r="B66" s="121" t="str">
        <f>$B$11</f>
        <v>C8.1</v>
      </c>
      <c r="C66" s="32" t="str">
        <f>"TOTAL CARRIED FORWARD"&amp;IF(G66=G$1," TO SUMMARY (Page C"&amp;Page_A&amp;")","")</f>
        <v>TOTAL CARRIED FORWARD TO SUMMARY (Page C49)</v>
      </c>
      <c r="D66" s="33"/>
      <c r="E66" s="34"/>
      <c r="F66" s="33"/>
      <c r="G66" s="352">
        <f>SUM(G10:G65)</f>
        <v>0</v>
      </c>
      <c r="H66" s="36"/>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91"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4E38DB1-D08B-4916-B2C5-7C91108BD56A}">
            <xm:f>AND(Information!$C$8=FALSE,$D15&lt;&gt;"P C Sum",$D15&lt;&gt;"PC Sum",$D15&lt;&gt;"P Sum",$D15&lt;&gt;"Prov Sum")</xm:f>
            <x14:dxf>
              <font>
                <strike val="0"/>
                <color theme="0"/>
              </font>
              <numFmt numFmtId="4" formatCode="#,##0.00"/>
            </x14:dxf>
          </x14:cfRule>
          <xm:sqref>F15:G64</xm:sqref>
        </x14:conditionalFormatting>
        <x14:conditionalFormatting xmlns:xm="http://schemas.microsoft.com/office/excel/2006/main">
          <x14:cfRule type="expression" priority="2" id="{53B87BCF-2370-4234-A7AF-A4C314A1BABA}">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8B9B-EAAA-4436-B5E8-0B6938D0FE30}">
  <sheetPr codeName="Sheet26">
    <tabColor rgb="FF00B050"/>
  </sheetPr>
  <dimension ref="B1:M61"/>
  <sheetViews>
    <sheetView view="pageBreakPreview" topLeftCell="A13" zoomScaleNormal="125" zoomScaleSheetLayoutView="100" zoomScalePageLayoutView="125" workbookViewId="0">
      <selection activeCell="N24" sqref="N24"/>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6.85546875" style="1"/>
    <col min="11" max="11" width="10.7109375" style="1" bestFit="1" customWidth="1"/>
    <col min="12" max="16384" width="6.85546875" style="1"/>
  </cols>
  <sheetData>
    <row r="1" spans="2:13" x14ac:dyDescent="0.2">
      <c r="G1" s="166">
        <f>MAX(G9:G495)</f>
        <v>0</v>
      </c>
    </row>
    <row r="2" spans="2:13" x14ac:dyDescent="0.2">
      <c r="B2" s="2" t="str">
        <f>Client1</f>
        <v>Province of KwaZulu-Natal</v>
      </c>
      <c r="E2" s="703" t="str">
        <f>"Contract No. "&amp;ContractNo</f>
        <v>Contract No. ZNB02287/00000/00/MET/INF/24/T</v>
      </c>
      <c r="F2" s="703"/>
      <c r="G2" s="703"/>
      <c r="J2" s="293"/>
      <c r="K2" s="293">
        <f>MAX(K3:K240)</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C8.5</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374"/>
      <c r="D10" s="15"/>
      <c r="E10" s="15"/>
      <c r="F10" s="16"/>
      <c r="G10" s="25" t="str">
        <f t="shared" ref="G10:G27" si="0">IF(D10="","",E10*F10)</f>
        <v/>
      </c>
      <c r="H10" s="18"/>
      <c r="J10" s="16"/>
      <c r="K10" s="16"/>
      <c r="L10" s="16"/>
      <c r="M10" s="16"/>
    </row>
    <row r="11" spans="2:13" x14ac:dyDescent="0.2">
      <c r="B11" s="19" t="s">
        <v>619</v>
      </c>
      <c r="C11" s="20" t="s">
        <v>620</v>
      </c>
      <c r="D11" s="22"/>
      <c r="E11" s="22"/>
      <c r="F11" s="16"/>
      <c r="G11" s="25"/>
      <c r="H11" s="42"/>
      <c r="J11" s="41"/>
      <c r="K11" s="41"/>
      <c r="L11" s="41"/>
      <c r="M11" s="41"/>
    </row>
    <row r="12" spans="2:13" x14ac:dyDescent="0.2">
      <c r="B12" s="19"/>
      <c r="C12" s="20"/>
      <c r="D12" s="22"/>
      <c r="E12" s="22"/>
      <c r="F12" s="16"/>
      <c r="G12" s="25" t="str">
        <f t="shared" si="0"/>
        <v/>
      </c>
      <c r="H12" s="42"/>
      <c r="J12" s="41"/>
      <c r="K12" s="41"/>
      <c r="L12" s="41"/>
      <c r="M12" s="41"/>
    </row>
    <row r="13" spans="2:13" x14ac:dyDescent="0.2">
      <c r="B13" s="51" t="s">
        <v>621</v>
      </c>
      <c r="C13" s="14" t="s">
        <v>622</v>
      </c>
      <c r="D13" s="22"/>
      <c r="E13" s="22"/>
      <c r="F13" s="16"/>
      <c r="G13" s="25" t="str">
        <f t="shared" si="0"/>
        <v/>
      </c>
      <c r="H13" s="42"/>
      <c r="J13" s="24"/>
      <c r="K13" s="46" t="str">
        <f t="shared" ref="K13:K42" si="1">IF(J13="","",J13*E13)</f>
        <v/>
      </c>
      <c r="L13" s="24"/>
      <c r="M13" s="24"/>
    </row>
    <row r="14" spans="2:13" x14ac:dyDescent="0.2">
      <c r="B14" s="51"/>
      <c r="C14" s="14"/>
      <c r="D14" s="22"/>
      <c r="E14" s="23"/>
      <c r="F14" s="16"/>
      <c r="G14" s="25" t="str">
        <f t="shared" si="0"/>
        <v/>
      </c>
      <c r="H14" s="42"/>
      <c r="J14" s="41"/>
      <c r="K14" s="46" t="str">
        <f t="shared" si="1"/>
        <v/>
      </c>
      <c r="L14" s="41"/>
      <c r="M14" s="41"/>
    </row>
    <row r="15" spans="2:13" x14ac:dyDescent="0.2">
      <c r="B15" s="51" t="s">
        <v>34</v>
      </c>
      <c r="C15" s="14" t="s">
        <v>623</v>
      </c>
      <c r="D15" s="22" t="s">
        <v>6</v>
      </c>
      <c r="E15" s="23">
        <v>2000</v>
      </c>
      <c r="F15" s="16"/>
      <c r="G15" s="25">
        <f t="shared" si="0"/>
        <v>0</v>
      </c>
      <c r="J15" s="41"/>
      <c r="K15" s="46" t="str">
        <f t="shared" si="1"/>
        <v/>
      </c>
      <c r="L15" s="41"/>
      <c r="M15" s="41"/>
    </row>
    <row r="16" spans="2:13" x14ac:dyDescent="0.2">
      <c r="B16" s="51"/>
      <c r="C16" s="14"/>
      <c r="D16" s="22"/>
      <c r="E16" s="23"/>
      <c r="F16" s="16"/>
      <c r="G16" s="25" t="str">
        <f t="shared" si="0"/>
        <v/>
      </c>
      <c r="J16" s="41"/>
      <c r="K16" s="46"/>
      <c r="L16" s="41"/>
      <c r="M16" s="41"/>
    </row>
    <row r="17" spans="2:13" x14ac:dyDescent="0.2">
      <c r="B17" s="51" t="s">
        <v>967</v>
      </c>
      <c r="C17" s="14" t="s">
        <v>968</v>
      </c>
      <c r="D17" s="22" t="s">
        <v>133</v>
      </c>
      <c r="E17" s="23">
        <v>200</v>
      </c>
      <c r="F17" s="16"/>
      <c r="G17" s="25">
        <f t="shared" si="0"/>
        <v>0</v>
      </c>
      <c r="J17" s="41"/>
      <c r="K17" s="46"/>
      <c r="L17" s="41"/>
      <c r="M17" s="41"/>
    </row>
    <row r="18" spans="2:13" x14ac:dyDescent="0.2">
      <c r="B18" s="51"/>
      <c r="C18" s="14"/>
      <c r="D18" s="22"/>
      <c r="E18" s="23"/>
      <c r="F18" s="16"/>
      <c r="G18" s="25" t="str">
        <f t="shared" si="0"/>
        <v/>
      </c>
      <c r="J18" s="41"/>
      <c r="K18" s="46" t="str">
        <f t="shared" si="1"/>
        <v/>
      </c>
      <c r="L18" s="41"/>
      <c r="M18" s="41"/>
    </row>
    <row r="19" spans="2:13" x14ac:dyDescent="0.2">
      <c r="B19" s="51" t="s">
        <v>624</v>
      </c>
      <c r="C19" s="14" t="s">
        <v>969</v>
      </c>
      <c r="D19" s="22" t="s">
        <v>133</v>
      </c>
      <c r="E19" s="23">
        <v>200</v>
      </c>
      <c r="F19" s="16"/>
      <c r="G19" s="25">
        <f t="shared" si="0"/>
        <v>0</v>
      </c>
      <c r="H19" s="43"/>
      <c r="J19" s="41">
        <f>F19*5%</f>
        <v>0</v>
      </c>
      <c r="K19" s="46">
        <f t="shared" si="1"/>
        <v>0</v>
      </c>
      <c r="L19" s="41"/>
      <c r="M19" s="41"/>
    </row>
    <row r="20" spans="2:13" x14ac:dyDescent="0.2">
      <c r="B20" s="51"/>
      <c r="C20" s="14"/>
      <c r="D20" s="22"/>
      <c r="E20" s="26"/>
      <c r="F20" s="16"/>
      <c r="G20" s="25" t="str">
        <f t="shared" si="0"/>
        <v/>
      </c>
      <c r="H20" s="18"/>
      <c r="J20" s="41"/>
      <c r="K20" s="46" t="str">
        <f t="shared" si="1"/>
        <v/>
      </c>
      <c r="L20" s="41"/>
      <c r="M20" s="41"/>
    </row>
    <row r="21" spans="2:13" s="38" customFormat="1" x14ac:dyDescent="0.2">
      <c r="B21" s="51" t="s">
        <v>625</v>
      </c>
      <c r="C21" s="14" t="s">
        <v>626</v>
      </c>
      <c r="D21" s="22"/>
      <c r="E21" s="26"/>
      <c r="F21" s="16"/>
      <c r="G21" s="25" t="str">
        <f t="shared" si="0"/>
        <v/>
      </c>
      <c r="H21" s="18"/>
      <c r="J21" s="41">
        <f>F21*5%</f>
        <v>0</v>
      </c>
      <c r="K21" s="46">
        <f t="shared" si="1"/>
        <v>0</v>
      </c>
      <c r="L21" s="41"/>
      <c r="M21" s="41"/>
    </row>
    <row r="22" spans="2:13" x14ac:dyDescent="0.2">
      <c r="B22" s="51"/>
      <c r="C22" s="14"/>
      <c r="D22" s="22"/>
      <c r="E22" s="23"/>
      <c r="F22" s="16"/>
      <c r="G22" s="25" t="str">
        <f t="shared" si="0"/>
        <v/>
      </c>
      <c r="H22" s="43"/>
      <c r="J22" s="41"/>
      <c r="K22" s="46" t="str">
        <f t="shared" si="1"/>
        <v/>
      </c>
      <c r="L22" s="41"/>
      <c r="M22" s="41"/>
    </row>
    <row r="23" spans="2:13" ht="25.5" x14ac:dyDescent="0.2">
      <c r="B23" s="51" t="s">
        <v>34</v>
      </c>
      <c r="C23" s="14" t="s">
        <v>627</v>
      </c>
      <c r="D23" s="22" t="s">
        <v>133</v>
      </c>
      <c r="E23" s="23">
        <v>800</v>
      </c>
      <c r="F23" s="16"/>
      <c r="G23" s="25">
        <f t="shared" si="0"/>
        <v>0</v>
      </c>
      <c r="H23" s="43"/>
      <c r="J23" s="41"/>
      <c r="K23" s="46" t="str">
        <f t="shared" si="1"/>
        <v/>
      </c>
      <c r="L23" s="41"/>
      <c r="M23" s="41"/>
    </row>
    <row r="24" spans="2:13" x14ac:dyDescent="0.2">
      <c r="B24" s="13"/>
      <c r="C24" s="14"/>
      <c r="D24" s="22"/>
      <c r="E24" s="23"/>
      <c r="F24" s="16"/>
      <c r="G24" s="25" t="str">
        <f t="shared" si="0"/>
        <v/>
      </c>
      <c r="H24" s="42"/>
      <c r="J24" s="41"/>
      <c r="K24" s="46" t="str">
        <f t="shared" si="1"/>
        <v/>
      </c>
      <c r="L24" s="41"/>
      <c r="M24" s="41"/>
    </row>
    <row r="25" spans="2:13" x14ac:dyDescent="0.2">
      <c r="B25" s="51" t="s">
        <v>970</v>
      </c>
      <c r="C25" s="14" t="s">
        <v>971</v>
      </c>
      <c r="D25" s="22" t="s">
        <v>6</v>
      </c>
      <c r="E25" s="22">
        <v>1200</v>
      </c>
      <c r="F25" s="16"/>
      <c r="G25" s="25">
        <f t="shared" si="0"/>
        <v>0</v>
      </c>
      <c r="H25" s="42"/>
      <c r="J25" s="41"/>
      <c r="K25" s="46" t="str">
        <f t="shared" si="1"/>
        <v/>
      </c>
      <c r="L25" s="41"/>
      <c r="M25" s="41"/>
    </row>
    <row r="26" spans="2:13" x14ac:dyDescent="0.2">
      <c r="B26" s="51"/>
      <c r="C26" s="14"/>
      <c r="D26" s="22"/>
      <c r="E26" s="22"/>
      <c r="F26" s="16"/>
      <c r="G26" s="25"/>
      <c r="H26" s="42"/>
      <c r="J26" s="41"/>
      <c r="K26" s="46"/>
      <c r="L26" s="41"/>
      <c r="M26" s="41"/>
    </row>
    <row r="27" spans="2:13" x14ac:dyDescent="0.2">
      <c r="B27" s="51" t="s">
        <v>972</v>
      </c>
      <c r="C27" s="14" t="s">
        <v>973</v>
      </c>
      <c r="D27" s="22" t="s">
        <v>6</v>
      </c>
      <c r="E27" s="22">
        <v>1200</v>
      </c>
      <c r="F27" s="16"/>
      <c r="G27" s="25">
        <f t="shared" si="0"/>
        <v>0</v>
      </c>
      <c r="H27" s="42"/>
      <c r="J27" s="41"/>
      <c r="K27" s="46" t="str">
        <f t="shared" si="1"/>
        <v/>
      </c>
      <c r="L27" s="41"/>
      <c r="M27" s="41"/>
    </row>
    <row r="28" spans="2:13" x14ac:dyDescent="0.2">
      <c r="B28" s="51"/>
      <c r="C28" s="14"/>
      <c r="D28" s="22"/>
      <c r="E28" s="22"/>
      <c r="F28" s="16"/>
      <c r="G28" s="25" t="str">
        <f t="shared" ref="G28:G60" si="2">IF(D28="","",E28*F28)</f>
        <v/>
      </c>
      <c r="H28" s="42"/>
      <c r="J28" s="41"/>
      <c r="K28" s="46" t="str">
        <f t="shared" si="1"/>
        <v/>
      </c>
      <c r="L28" s="41"/>
      <c r="M28" s="41"/>
    </row>
    <row r="29" spans="2:13" x14ac:dyDescent="0.2">
      <c r="B29" s="51"/>
      <c r="C29" s="14"/>
      <c r="D29" s="22"/>
      <c r="E29" s="22"/>
      <c r="F29" s="16"/>
      <c r="G29" s="25" t="str">
        <f t="shared" si="2"/>
        <v/>
      </c>
      <c r="H29" s="42"/>
      <c r="J29" s="41">
        <f>_Excavation</f>
        <v>0</v>
      </c>
      <c r="K29" s="46">
        <f t="shared" si="1"/>
        <v>0</v>
      </c>
      <c r="L29" s="41"/>
      <c r="M29" s="41"/>
    </row>
    <row r="30" spans="2:13" x14ac:dyDescent="0.2">
      <c r="B30" s="51"/>
      <c r="C30" s="14"/>
      <c r="D30" s="22"/>
      <c r="E30" s="22"/>
      <c r="F30" s="16"/>
      <c r="G30" s="25" t="str">
        <f t="shared" si="2"/>
        <v/>
      </c>
      <c r="H30" s="42"/>
      <c r="J30" s="41"/>
      <c r="K30" s="46" t="str">
        <f t="shared" si="1"/>
        <v/>
      </c>
      <c r="L30" s="41"/>
      <c r="M30" s="41"/>
    </row>
    <row r="31" spans="2:13" x14ac:dyDescent="0.2">
      <c r="B31" s="51"/>
      <c r="C31" s="14"/>
      <c r="D31" s="22"/>
      <c r="E31" s="22"/>
      <c r="F31" s="16"/>
      <c r="G31" s="25" t="str">
        <f t="shared" si="2"/>
        <v/>
      </c>
      <c r="H31" s="42"/>
      <c r="J31" s="41"/>
      <c r="K31" s="46" t="str">
        <f t="shared" si="1"/>
        <v/>
      </c>
      <c r="L31" s="41"/>
      <c r="M31" s="41"/>
    </row>
    <row r="32" spans="2:13" x14ac:dyDescent="0.2">
      <c r="B32" s="51"/>
      <c r="C32" s="14"/>
      <c r="D32" s="22"/>
      <c r="E32" s="22"/>
      <c r="F32" s="16"/>
      <c r="G32" s="25" t="str">
        <f t="shared" si="2"/>
        <v/>
      </c>
      <c r="H32" s="42"/>
      <c r="J32" s="41"/>
      <c r="K32" s="46" t="str">
        <f t="shared" si="1"/>
        <v/>
      </c>
      <c r="L32" s="41"/>
      <c r="M32" s="41"/>
    </row>
    <row r="33" spans="2:13" x14ac:dyDescent="0.2">
      <c r="B33" s="51"/>
      <c r="C33" s="14"/>
      <c r="D33" s="22"/>
      <c r="E33" s="22"/>
      <c r="F33" s="16"/>
      <c r="G33" s="25" t="str">
        <f t="shared" si="2"/>
        <v/>
      </c>
      <c r="H33" s="42"/>
      <c r="J33" s="41"/>
      <c r="K33" s="46" t="str">
        <f t="shared" si="1"/>
        <v/>
      </c>
      <c r="L33" s="41"/>
      <c r="M33" s="41"/>
    </row>
    <row r="34" spans="2:13" ht="12" customHeight="1" x14ac:dyDescent="0.2">
      <c r="B34" s="51"/>
      <c r="C34" s="14"/>
      <c r="D34" s="22"/>
      <c r="E34" s="22"/>
      <c r="F34" s="16"/>
      <c r="G34" s="25" t="str">
        <f t="shared" si="2"/>
        <v/>
      </c>
      <c r="H34" s="42"/>
      <c r="J34" s="41"/>
      <c r="K34" s="46" t="str">
        <f t="shared" si="1"/>
        <v/>
      </c>
      <c r="L34" s="41"/>
      <c r="M34" s="41"/>
    </row>
    <row r="35" spans="2:13" x14ac:dyDescent="0.2">
      <c r="B35" s="51"/>
      <c r="C35" s="14"/>
      <c r="D35" s="22"/>
      <c r="E35" s="22"/>
      <c r="F35" s="16"/>
      <c r="G35" s="25" t="str">
        <f t="shared" si="2"/>
        <v/>
      </c>
      <c r="H35" s="42"/>
      <c r="J35" s="41"/>
      <c r="K35" s="46" t="str">
        <f t="shared" si="1"/>
        <v/>
      </c>
      <c r="L35" s="41"/>
      <c r="M35" s="41"/>
    </row>
    <row r="36" spans="2:13" ht="12" customHeight="1" x14ac:dyDescent="0.2">
      <c r="B36" s="51"/>
      <c r="C36" s="14"/>
      <c r="D36" s="22"/>
      <c r="E36" s="22"/>
      <c r="F36" s="16"/>
      <c r="G36" s="25" t="str">
        <f t="shared" si="2"/>
        <v/>
      </c>
      <c r="H36" s="42"/>
      <c r="J36" s="41"/>
      <c r="K36" s="46" t="str">
        <f t="shared" si="1"/>
        <v/>
      </c>
      <c r="L36" s="41"/>
      <c r="M36" s="41"/>
    </row>
    <row r="37" spans="2:13" x14ac:dyDescent="0.2">
      <c r="B37" s="51"/>
      <c r="C37" s="14"/>
      <c r="D37" s="22"/>
      <c r="E37" s="22"/>
      <c r="F37" s="16"/>
      <c r="G37" s="25" t="str">
        <f t="shared" si="2"/>
        <v/>
      </c>
      <c r="H37" s="42"/>
      <c r="J37" s="41">
        <f>_Backfill</f>
        <v>0</v>
      </c>
      <c r="K37" s="46">
        <f t="shared" si="1"/>
        <v>0</v>
      </c>
      <c r="L37" s="41"/>
      <c r="M37" s="41"/>
    </row>
    <row r="38" spans="2:13" ht="12" customHeight="1" x14ac:dyDescent="0.2">
      <c r="B38" s="51"/>
      <c r="C38" s="14"/>
      <c r="D38" s="22"/>
      <c r="E38" s="22"/>
      <c r="F38" s="16"/>
      <c r="G38" s="25" t="str">
        <f t="shared" si="2"/>
        <v/>
      </c>
      <c r="J38" s="41"/>
      <c r="K38" s="46" t="str">
        <f t="shared" si="1"/>
        <v/>
      </c>
      <c r="L38" s="41"/>
      <c r="M38" s="41"/>
    </row>
    <row r="39" spans="2:13" x14ac:dyDescent="0.2">
      <c r="B39" s="51"/>
      <c r="C39" s="14"/>
      <c r="D39" s="22"/>
      <c r="E39" s="22"/>
      <c r="F39" s="16"/>
      <c r="G39" s="25" t="str">
        <f t="shared" si="2"/>
        <v/>
      </c>
      <c r="H39" s="42"/>
      <c r="J39" s="41">
        <f>_Backfill</f>
        <v>0</v>
      </c>
      <c r="K39" s="46">
        <f t="shared" si="1"/>
        <v>0</v>
      </c>
      <c r="L39" s="41"/>
      <c r="M39" s="41"/>
    </row>
    <row r="40" spans="2:13" ht="12" customHeight="1" x14ac:dyDescent="0.2">
      <c r="B40" s="51"/>
      <c r="C40" s="14"/>
      <c r="D40" s="22"/>
      <c r="E40" s="22"/>
      <c r="F40" s="16"/>
      <c r="G40" s="25" t="str">
        <f t="shared" si="2"/>
        <v/>
      </c>
      <c r="H40" s="50"/>
      <c r="J40" s="41"/>
      <c r="K40" s="46" t="str">
        <f t="shared" si="1"/>
        <v/>
      </c>
      <c r="L40" s="41"/>
      <c r="M40" s="41"/>
    </row>
    <row r="41" spans="2:13" x14ac:dyDescent="0.2">
      <c r="B41" s="51"/>
      <c r="C41" s="14"/>
      <c r="D41" s="22"/>
      <c r="E41" s="22"/>
      <c r="F41" s="16"/>
      <c r="G41" s="25" t="str">
        <f t="shared" si="2"/>
        <v/>
      </c>
      <c r="J41" s="41"/>
      <c r="K41" s="46" t="str">
        <f t="shared" si="1"/>
        <v/>
      </c>
      <c r="L41" s="41"/>
      <c r="M41" s="41"/>
    </row>
    <row r="42" spans="2:13" ht="12" customHeight="1" x14ac:dyDescent="0.2">
      <c r="B42" s="51"/>
      <c r="C42" s="14"/>
      <c r="D42" s="22"/>
      <c r="E42" s="22"/>
      <c r="F42" s="16"/>
      <c r="G42" s="25" t="str">
        <f t="shared" si="2"/>
        <v/>
      </c>
      <c r="H42" s="42"/>
      <c r="J42" s="41"/>
      <c r="K42" s="46" t="str">
        <f t="shared" si="1"/>
        <v/>
      </c>
      <c r="L42" s="41"/>
      <c r="M42" s="41"/>
    </row>
    <row r="43" spans="2:13" x14ac:dyDescent="0.2">
      <c r="B43" s="51"/>
      <c r="C43" s="14"/>
      <c r="D43" s="22"/>
      <c r="E43" s="22"/>
      <c r="F43" s="16"/>
      <c r="G43" s="25" t="str">
        <f t="shared" si="2"/>
        <v/>
      </c>
      <c r="H43" s="42"/>
      <c r="J43" s="41"/>
      <c r="K43" s="46" t="str">
        <f t="shared" ref="K43:K60" si="3">IF(J43="","",J43*E43)</f>
        <v/>
      </c>
      <c r="L43" s="41"/>
      <c r="M43" s="41"/>
    </row>
    <row r="44" spans="2:13" ht="12" customHeight="1" x14ac:dyDescent="0.2">
      <c r="B44" s="51"/>
      <c r="C44" s="14"/>
      <c r="D44" s="22"/>
      <c r="E44" s="22"/>
      <c r="F44" s="16"/>
      <c r="G44" s="25" t="str">
        <f t="shared" si="2"/>
        <v/>
      </c>
      <c r="H44" s="42"/>
      <c r="J44" s="41"/>
      <c r="K44" s="46" t="str">
        <f t="shared" si="3"/>
        <v/>
      </c>
      <c r="L44" s="41"/>
      <c r="M44" s="41"/>
    </row>
    <row r="45" spans="2:13" x14ac:dyDescent="0.2">
      <c r="B45" s="51"/>
      <c r="C45" s="14"/>
      <c r="D45" s="22"/>
      <c r="E45" s="22"/>
      <c r="F45" s="16"/>
      <c r="G45" s="25" t="str">
        <f t="shared" si="2"/>
        <v/>
      </c>
      <c r="H45" s="42"/>
      <c r="J45" s="41"/>
      <c r="K45" s="46" t="str">
        <f t="shared" si="3"/>
        <v/>
      </c>
      <c r="L45" s="41"/>
      <c r="M45" s="41"/>
    </row>
    <row r="46" spans="2:13" x14ac:dyDescent="0.2">
      <c r="B46" s="51"/>
      <c r="C46" s="14"/>
      <c r="D46" s="22"/>
      <c r="E46" s="22"/>
      <c r="F46" s="16"/>
      <c r="G46" s="25"/>
      <c r="H46" s="42"/>
      <c r="J46" s="41"/>
      <c r="K46" s="46" t="str">
        <f t="shared" si="3"/>
        <v/>
      </c>
      <c r="L46" s="41"/>
      <c r="M46" s="41"/>
    </row>
    <row r="47" spans="2:13" x14ac:dyDescent="0.2">
      <c r="B47" s="51"/>
      <c r="C47" s="14"/>
      <c r="D47" s="22"/>
      <c r="E47" s="22"/>
      <c r="F47" s="16"/>
      <c r="G47" s="25" t="str">
        <f>IF(D47="","",E47*F47)</f>
        <v/>
      </c>
      <c r="H47" s="42"/>
      <c r="J47" s="41"/>
      <c r="K47" s="46" t="str">
        <f t="shared" si="3"/>
        <v/>
      </c>
      <c r="L47" s="41"/>
      <c r="M47" s="41"/>
    </row>
    <row r="48" spans="2:13" x14ac:dyDescent="0.2">
      <c r="B48" s="51"/>
      <c r="C48" s="14"/>
      <c r="D48" s="22"/>
      <c r="E48" s="22"/>
      <c r="F48" s="16"/>
      <c r="G48" s="25" t="str">
        <f>IF(D48="","",E48*F48)</f>
        <v/>
      </c>
      <c r="H48" s="42"/>
      <c r="J48" s="41"/>
      <c r="K48" s="46" t="str">
        <f t="shared" si="3"/>
        <v/>
      </c>
      <c r="L48" s="41"/>
      <c r="M48" s="41"/>
    </row>
    <row r="49" spans="2:13" x14ac:dyDescent="0.2">
      <c r="B49" s="51"/>
      <c r="C49" s="14"/>
      <c r="D49" s="22"/>
      <c r="E49" s="22"/>
      <c r="F49" s="16"/>
      <c r="G49" s="25" t="str">
        <f>IF(D49="","",E49*F49)</f>
        <v/>
      </c>
      <c r="H49" s="42"/>
      <c r="J49" s="41">
        <f>_Backfill</f>
        <v>0</v>
      </c>
      <c r="K49" s="46">
        <f t="shared" si="3"/>
        <v>0</v>
      </c>
      <c r="L49" s="41"/>
      <c r="M49" s="41"/>
    </row>
    <row r="50" spans="2:13" x14ac:dyDescent="0.2">
      <c r="B50" s="51"/>
      <c r="C50" s="14"/>
      <c r="D50" s="22"/>
      <c r="E50" s="22"/>
      <c r="F50" s="16"/>
      <c r="G50" s="25"/>
      <c r="H50" s="42"/>
      <c r="J50" s="41"/>
      <c r="K50" s="46" t="str">
        <f t="shared" si="3"/>
        <v/>
      </c>
      <c r="L50" s="41"/>
      <c r="M50" s="41"/>
    </row>
    <row r="51" spans="2:13" x14ac:dyDescent="0.2">
      <c r="B51" s="51"/>
      <c r="C51" s="14"/>
      <c r="D51" s="22"/>
      <c r="E51" s="22"/>
      <c r="F51" s="16"/>
      <c r="G51" s="25" t="str">
        <f>IF(D51="","",E51*F51)</f>
        <v/>
      </c>
      <c r="H51" s="42"/>
      <c r="J51" s="41">
        <f>_Place</f>
        <v>0</v>
      </c>
      <c r="K51" s="46">
        <f t="shared" si="3"/>
        <v>0</v>
      </c>
      <c r="L51" s="41"/>
      <c r="M51" s="41"/>
    </row>
    <row r="52" spans="2:13" x14ac:dyDescent="0.2">
      <c r="B52" s="51"/>
      <c r="C52" s="14"/>
      <c r="D52" s="22"/>
      <c r="E52" s="22"/>
      <c r="F52" s="16"/>
      <c r="G52" s="25"/>
      <c r="H52" s="42"/>
      <c r="J52" s="41"/>
      <c r="K52" s="46" t="str">
        <f t="shared" si="3"/>
        <v/>
      </c>
      <c r="L52" s="41"/>
      <c r="M52" s="41"/>
    </row>
    <row r="53" spans="2:13" x14ac:dyDescent="0.2">
      <c r="B53" s="51"/>
      <c r="C53" s="14"/>
      <c r="D53" s="22"/>
      <c r="E53" s="22"/>
      <c r="F53" s="16"/>
      <c r="G53" s="25" t="str">
        <f>IF(D53="","",E53*F53)</f>
        <v/>
      </c>
      <c r="H53" s="42"/>
      <c r="J53" s="41">
        <f>_Place</f>
        <v>0</v>
      </c>
      <c r="K53" s="46">
        <f t="shared" si="3"/>
        <v>0</v>
      </c>
      <c r="L53" s="41"/>
      <c r="M53" s="41"/>
    </row>
    <row r="54" spans="2:13" x14ac:dyDescent="0.2">
      <c r="B54" s="51"/>
      <c r="C54" s="14"/>
      <c r="D54" s="22"/>
      <c r="E54" s="22"/>
      <c r="F54" s="16"/>
      <c r="G54" s="25"/>
      <c r="H54" s="42"/>
      <c r="J54" s="41"/>
      <c r="K54" s="46" t="str">
        <f t="shared" si="3"/>
        <v/>
      </c>
      <c r="L54" s="41"/>
      <c r="M54" s="41"/>
    </row>
    <row r="55" spans="2:13" x14ac:dyDescent="0.2">
      <c r="B55" s="51"/>
      <c r="C55" s="14"/>
      <c r="D55" s="22"/>
      <c r="E55" s="22"/>
      <c r="F55" s="16"/>
      <c r="G55" s="25"/>
      <c r="H55" s="42"/>
      <c r="J55" s="41"/>
      <c r="K55" s="46" t="str">
        <f t="shared" si="3"/>
        <v/>
      </c>
      <c r="L55" s="41"/>
      <c r="M55" s="41"/>
    </row>
    <row r="56" spans="2:13" x14ac:dyDescent="0.2">
      <c r="B56" s="51"/>
      <c r="C56" s="14"/>
      <c r="D56" s="22"/>
      <c r="E56" s="22"/>
      <c r="F56" s="16"/>
      <c r="G56" s="25"/>
      <c r="H56" s="42"/>
      <c r="J56" s="41"/>
      <c r="K56" s="46" t="str">
        <f t="shared" si="3"/>
        <v/>
      </c>
      <c r="L56" s="41"/>
      <c r="M56" s="41"/>
    </row>
    <row r="57" spans="2:13" x14ac:dyDescent="0.2">
      <c r="B57" s="51"/>
      <c r="C57" s="14"/>
      <c r="D57" s="22"/>
      <c r="E57" s="22"/>
      <c r="F57" s="16"/>
      <c r="G57" s="25"/>
      <c r="H57" s="42"/>
      <c r="J57" s="41"/>
      <c r="K57" s="46" t="str">
        <f t="shared" si="3"/>
        <v/>
      </c>
      <c r="L57" s="41"/>
      <c r="M57" s="41"/>
    </row>
    <row r="58" spans="2:13" x14ac:dyDescent="0.2">
      <c r="B58" s="51"/>
      <c r="C58" s="14"/>
      <c r="D58" s="22"/>
      <c r="E58" s="22"/>
      <c r="F58" s="16"/>
      <c r="G58" s="25"/>
      <c r="H58" s="42"/>
      <c r="J58" s="41"/>
      <c r="K58" s="46" t="str">
        <f t="shared" si="3"/>
        <v/>
      </c>
      <c r="L58" s="41"/>
      <c r="M58" s="41"/>
    </row>
    <row r="59" spans="2:13" ht="12" customHeight="1" x14ac:dyDescent="0.2">
      <c r="B59" s="51"/>
      <c r="C59" s="14"/>
      <c r="D59" s="22"/>
      <c r="E59" s="22"/>
      <c r="F59" s="16"/>
      <c r="G59" s="25" t="str">
        <f t="shared" si="2"/>
        <v/>
      </c>
      <c r="H59" s="42"/>
      <c r="J59" s="41"/>
      <c r="K59" s="46" t="str">
        <f t="shared" si="3"/>
        <v/>
      </c>
      <c r="L59" s="41"/>
      <c r="M59" s="41"/>
    </row>
    <row r="60" spans="2:13" ht="12" customHeight="1" x14ac:dyDescent="0.2">
      <c r="B60" s="51"/>
      <c r="C60" s="14"/>
      <c r="D60" s="22"/>
      <c r="E60" s="22"/>
      <c r="F60" s="16"/>
      <c r="G60" s="25" t="str">
        <f t="shared" si="2"/>
        <v/>
      </c>
      <c r="H60" s="42"/>
      <c r="J60" s="41"/>
      <c r="K60" s="46" t="str">
        <f t="shared" si="3"/>
        <v/>
      </c>
      <c r="L60" s="41"/>
      <c r="M60" s="41"/>
    </row>
    <row r="61" spans="2:13" s="30" customFormat="1" ht="19.5" customHeight="1" x14ac:dyDescent="0.2">
      <c r="B61" s="121">
        <f>$B$12</f>
        <v>0</v>
      </c>
      <c r="C61" s="32" t="str">
        <f>"TOTAL CARRIED FORWARD"&amp;IF(G61=G$1," TO SUMMARY (Page C"&amp;Page_A&amp;")","")</f>
        <v>TOTAL CARRIED FORWARD TO SUMMARY (Page C49)</v>
      </c>
      <c r="D61" s="33"/>
      <c r="E61" s="34"/>
      <c r="F61" s="33"/>
      <c r="G61" s="352">
        <f>SUM(G10:G60)</f>
        <v>0</v>
      </c>
      <c r="H61" s="36"/>
      <c r="K61" s="35">
        <f>SUM(K10:K60)</f>
        <v>0</v>
      </c>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9"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colBreaks count="1" manualBreakCount="1">
    <brk id="7" min="1" max="60" man="1"/>
  </colBreaks>
  <extLst>
    <ext xmlns:x14="http://schemas.microsoft.com/office/spreadsheetml/2009/9/main" uri="{78C0D931-6437-407d-A8EE-F0AAD7539E65}">
      <x14:conditionalFormattings>
        <x14:conditionalFormatting xmlns:xm="http://schemas.microsoft.com/office/excel/2006/main">
          <x14:cfRule type="expression" priority="3" id="{40BD65E8-A742-4C0C-8922-F9427FE54419}">
            <xm:f>AND(Information!$C$8=FALSE,$D10&lt;&gt;"P C Sum",$D10&lt;&gt;"PC Sum",$D10&lt;&gt;"P Sum",$D10&lt;&gt;"Prov Sum")</xm:f>
            <x14:dxf>
              <font>
                <strike val="0"/>
                <color theme="0"/>
              </font>
              <numFmt numFmtId="4" formatCode="#,##0.00"/>
            </x14:dxf>
          </x14:cfRule>
          <xm:sqref>F10:G60</xm:sqref>
        </x14:conditionalFormatting>
        <x14:conditionalFormatting xmlns:xm="http://schemas.microsoft.com/office/excel/2006/main">
          <x14:cfRule type="expression" priority="2" id="{62E893FB-2945-4AD8-9E3F-6C9D189B32C0}">
            <xm:f>AND(Information!$C$8=FALSE,$D61&lt;&gt;"P C Sum",$D61&lt;&gt;"PC Sum",$D61&lt;&gt;"P Sum",$D61&lt;&gt;"Prov Sum")</xm:f>
            <x14:dxf>
              <font>
                <strike val="0"/>
                <color theme="0"/>
              </font>
              <numFmt numFmtId="4" formatCode="#,##0.00"/>
            </x14:dxf>
          </x14:cfRule>
          <xm:sqref>G61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16E6-34D4-4A1D-B9BA-877796141B5E}">
  <sheetPr codeName="Sheet16">
    <tabColor rgb="FF00B050"/>
  </sheetPr>
  <dimension ref="A1:M136"/>
  <sheetViews>
    <sheetView view="pageBreakPreview" topLeftCell="A110" zoomScale="98" zoomScaleNormal="125" zoomScaleSheetLayoutView="98" zoomScalePageLayoutView="125" workbookViewId="0">
      <selection activeCell="F76" sqref="F76:F135"/>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6.85546875" style="1"/>
    <col min="11" max="11" width="10.7109375" style="1" bestFit="1" customWidth="1"/>
    <col min="12" max="16384" width="6.85546875" style="1"/>
  </cols>
  <sheetData>
    <row r="1" spans="2:13" x14ac:dyDescent="0.2">
      <c r="G1" s="166">
        <f>MAX(G9:G511)</f>
        <v>0</v>
      </c>
    </row>
    <row r="2" spans="2:13" x14ac:dyDescent="0.2">
      <c r="B2" s="2" t="str">
        <f>Client1</f>
        <v>Province of KwaZulu-Natal</v>
      </c>
      <c r="E2" s="703" t="str">
        <f>"Contract No. "&amp;ContractNo</f>
        <v>Contract No. ZNB02287/00000/00/MET/INF/24/T</v>
      </c>
      <c r="F2" s="703"/>
      <c r="G2" s="703"/>
      <c r="J2" s="293"/>
      <c r="K2" s="293">
        <f>MAX(K3:K256)</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C8.8</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17" t="str">
        <f t="shared" ref="G10:G27" si="0">IF(D10="","",E10*F10)</f>
        <v/>
      </c>
      <c r="H10" s="18"/>
      <c r="J10" s="16"/>
      <c r="K10" s="16"/>
      <c r="L10" s="16"/>
      <c r="M10" s="16"/>
    </row>
    <row r="11" spans="2:13" x14ac:dyDescent="0.2">
      <c r="B11" s="67" t="s">
        <v>584</v>
      </c>
      <c r="C11" s="20" t="s">
        <v>585</v>
      </c>
      <c r="D11" s="22"/>
      <c r="E11" s="22"/>
      <c r="F11" s="16"/>
      <c r="G11" s="25" t="str">
        <f t="shared" si="0"/>
        <v/>
      </c>
      <c r="H11" s="42"/>
      <c r="J11" s="41"/>
      <c r="K11" s="41"/>
      <c r="L11" s="41"/>
      <c r="M11" s="41"/>
    </row>
    <row r="12" spans="2:13" x14ac:dyDescent="0.2">
      <c r="B12" s="51"/>
      <c r="C12" s="14"/>
      <c r="D12" s="22"/>
      <c r="E12" s="22"/>
      <c r="F12" s="16"/>
      <c r="G12" s="25" t="str">
        <f t="shared" si="0"/>
        <v/>
      </c>
      <c r="H12" s="42"/>
      <c r="J12" s="41"/>
      <c r="K12" s="41"/>
      <c r="L12" s="41"/>
      <c r="M12" s="41"/>
    </row>
    <row r="13" spans="2:13" x14ac:dyDescent="0.2">
      <c r="B13" s="67" t="s">
        <v>586</v>
      </c>
      <c r="C13" s="20" t="s">
        <v>587</v>
      </c>
      <c r="D13" s="22"/>
      <c r="E13" s="22"/>
      <c r="F13" s="16"/>
      <c r="G13" s="25" t="str">
        <f t="shared" si="0"/>
        <v/>
      </c>
      <c r="H13" s="42"/>
      <c r="J13" s="24"/>
      <c r="K13" s="46" t="str">
        <f t="shared" ref="K13:K46" si="1">IF(J13="","",J13*E13)</f>
        <v/>
      </c>
      <c r="L13" s="24"/>
      <c r="M13" s="24"/>
    </row>
    <row r="14" spans="2:13" x14ac:dyDescent="0.2">
      <c r="B14" s="51"/>
      <c r="C14" s="14"/>
      <c r="D14" s="22"/>
      <c r="E14" s="23"/>
      <c r="F14" s="16"/>
      <c r="G14" s="25" t="str">
        <f t="shared" si="0"/>
        <v/>
      </c>
      <c r="H14" s="43"/>
      <c r="J14" s="41"/>
      <c r="K14" s="46"/>
      <c r="L14" s="41"/>
      <c r="M14" s="41"/>
    </row>
    <row r="15" spans="2:13" x14ac:dyDescent="0.2">
      <c r="B15" s="51" t="s">
        <v>588</v>
      </c>
      <c r="C15" s="14" t="s">
        <v>589</v>
      </c>
      <c r="D15" s="22"/>
      <c r="E15" s="23"/>
      <c r="F15" s="16"/>
      <c r="G15" s="25" t="str">
        <f t="shared" si="0"/>
        <v/>
      </c>
      <c r="H15" s="42"/>
      <c r="J15" s="41"/>
      <c r="K15" s="46"/>
      <c r="L15" s="41"/>
      <c r="M15" s="41"/>
    </row>
    <row r="16" spans="2:13" x14ac:dyDescent="0.2">
      <c r="B16" s="51"/>
      <c r="C16" s="14"/>
      <c r="D16" s="22"/>
      <c r="E16" s="23"/>
      <c r="F16" s="16"/>
      <c r="G16" s="25" t="str">
        <f t="shared" si="0"/>
        <v/>
      </c>
      <c r="J16" s="41"/>
      <c r="K16" s="46"/>
      <c r="L16" s="41"/>
      <c r="M16" s="41"/>
    </row>
    <row r="17" spans="2:13" x14ac:dyDescent="0.2">
      <c r="B17" s="51" t="s">
        <v>34</v>
      </c>
      <c r="C17" s="14" t="s">
        <v>590</v>
      </c>
      <c r="D17" s="22" t="s">
        <v>6</v>
      </c>
      <c r="E17" s="611">
        <v>8978.58</v>
      </c>
      <c r="F17" s="16"/>
      <c r="G17" s="25">
        <f t="shared" si="0"/>
        <v>0</v>
      </c>
      <c r="J17" s="345"/>
      <c r="K17" s="46"/>
      <c r="L17" s="41"/>
      <c r="M17" s="41"/>
    </row>
    <row r="18" spans="2:13" x14ac:dyDescent="0.2">
      <c r="B18" s="51"/>
      <c r="C18" s="14"/>
      <c r="D18" s="22"/>
      <c r="E18" s="23"/>
      <c r="F18" s="16"/>
      <c r="G18" s="25" t="str">
        <f t="shared" si="0"/>
        <v/>
      </c>
      <c r="J18" s="41"/>
      <c r="K18" s="46"/>
      <c r="L18" s="41"/>
      <c r="M18" s="41"/>
    </row>
    <row r="19" spans="2:13" x14ac:dyDescent="0.2">
      <c r="B19" s="51" t="s">
        <v>35</v>
      </c>
      <c r="C19" s="14" t="s">
        <v>591</v>
      </c>
      <c r="D19" s="22" t="s">
        <v>6</v>
      </c>
      <c r="E19" s="611">
        <v>898.77</v>
      </c>
      <c r="F19" s="16"/>
      <c r="G19" s="25">
        <f t="shared" si="0"/>
        <v>0</v>
      </c>
      <c r="H19" s="42"/>
      <c r="J19" s="41"/>
      <c r="K19" s="46"/>
      <c r="L19" s="41"/>
      <c r="M19" s="41"/>
    </row>
    <row r="20" spans="2:13" x14ac:dyDescent="0.2">
      <c r="B20" s="51"/>
      <c r="C20" s="14"/>
      <c r="D20" s="22"/>
      <c r="E20" s="611"/>
      <c r="F20" s="16"/>
      <c r="G20" s="25" t="str">
        <f t="shared" si="0"/>
        <v/>
      </c>
      <c r="H20" s="42"/>
      <c r="J20" s="41"/>
      <c r="K20" s="46"/>
      <c r="L20" s="41"/>
      <c r="M20" s="41"/>
    </row>
    <row r="21" spans="2:13" x14ac:dyDescent="0.2">
      <c r="B21" s="51" t="s">
        <v>40</v>
      </c>
      <c r="C21" s="14" t="s">
        <v>688</v>
      </c>
      <c r="D21" s="22" t="s">
        <v>6</v>
      </c>
      <c r="E21" s="611">
        <v>6507.9</v>
      </c>
      <c r="F21" s="16"/>
      <c r="G21" s="25">
        <f t="shared" si="0"/>
        <v>0</v>
      </c>
      <c r="H21" s="43"/>
      <c r="J21" s="41"/>
      <c r="K21" s="46"/>
      <c r="L21" s="41"/>
      <c r="M21" s="41"/>
    </row>
    <row r="22" spans="2:13" x14ac:dyDescent="0.2">
      <c r="B22" s="51"/>
      <c r="C22" s="14"/>
      <c r="D22" s="22"/>
      <c r="E22" s="161"/>
      <c r="F22" s="16"/>
      <c r="G22" s="25" t="str">
        <f t="shared" si="0"/>
        <v/>
      </c>
      <c r="H22" s="18"/>
      <c r="J22" s="41"/>
      <c r="K22" s="46"/>
      <c r="L22" s="41"/>
      <c r="M22" s="41"/>
    </row>
    <row r="23" spans="2:13" s="38" customFormat="1" x14ac:dyDescent="0.2">
      <c r="B23" s="51" t="s">
        <v>592</v>
      </c>
      <c r="C23" s="14" t="s">
        <v>593</v>
      </c>
      <c r="D23" s="22"/>
      <c r="E23" s="612"/>
      <c r="F23" s="16"/>
      <c r="G23" s="383" t="str">
        <f t="shared" si="0"/>
        <v/>
      </c>
      <c r="H23" s="254"/>
      <c r="J23" s="41"/>
      <c r="K23" s="46"/>
      <c r="L23" s="41"/>
      <c r="M23" s="41"/>
    </row>
    <row r="24" spans="2:13" x14ac:dyDescent="0.2">
      <c r="B24" s="51"/>
      <c r="C24" s="14"/>
      <c r="D24" s="22"/>
      <c r="E24" s="613"/>
      <c r="F24" s="16"/>
      <c r="G24" s="383" t="str">
        <f t="shared" si="0"/>
        <v/>
      </c>
      <c r="H24" s="153"/>
      <c r="J24" s="41"/>
      <c r="K24" s="46"/>
      <c r="L24" s="41"/>
      <c r="M24" s="41"/>
    </row>
    <row r="25" spans="2:13" x14ac:dyDescent="0.2">
      <c r="B25" s="51" t="s">
        <v>34</v>
      </c>
      <c r="C25" s="14" t="s">
        <v>594</v>
      </c>
      <c r="D25" s="22" t="s">
        <v>6</v>
      </c>
      <c r="E25" s="613">
        <v>897.58</v>
      </c>
      <c r="F25" s="16"/>
      <c r="G25" s="383">
        <f t="shared" si="0"/>
        <v>0</v>
      </c>
      <c r="H25" s="153"/>
      <c r="J25" s="41"/>
      <c r="K25" s="46"/>
      <c r="L25" s="41"/>
      <c r="M25" s="41"/>
    </row>
    <row r="26" spans="2:13" x14ac:dyDescent="0.2">
      <c r="B26" s="51"/>
      <c r="C26" s="14"/>
      <c r="D26" s="22"/>
      <c r="E26" s="613"/>
      <c r="F26" s="16"/>
      <c r="G26" s="383" t="str">
        <f t="shared" si="0"/>
        <v/>
      </c>
      <c r="H26" s="150"/>
      <c r="J26" s="41"/>
      <c r="K26" s="46"/>
      <c r="L26" s="41"/>
      <c r="M26" s="41"/>
    </row>
    <row r="27" spans="2:13" x14ac:dyDescent="0.2">
      <c r="B27" s="51" t="s">
        <v>35</v>
      </c>
      <c r="C27" s="14" t="s">
        <v>595</v>
      </c>
      <c r="D27" s="22" t="s">
        <v>6</v>
      </c>
      <c r="E27" s="613">
        <v>898.77</v>
      </c>
      <c r="F27" s="16"/>
      <c r="G27" s="383">
        <f t="shared" si="0"/>
        <v>0</v>
      </c>
      <c r="H27" s="150"/>
      <c r="J27" s="41"/>
      <c r="K27" s="46"/>
      <c r="L27" s="41"/>
      <c r="M27" s="41"/>
    </row>
    <row r="28" spans="2:13" x14ac:dyDescent="0.2">
      <c r="B28" s="51"/>
      <c r="C28" s="14"/>
      <c r="D28" s="22"/>
      <c r="E28" s="613"/>
      <c r="F28" s="16"/>
      <c r="G28" s="383" t="str">
        <f t="shared" ref="G28:G59" si="2">IF(D28="","",E28*F28)</f>
        <v/>
      </c>
      <c r="H28" s="150"/>
      <c r="J28" s="41"/>
      <c r="K28" s="46"/>
      <c r="L28" s="41"/>
      <c r="M28" s="41"/>
    </row>
    <row r="29" spans="2:13" x14ac:dyDescent="0.2">
      <c r="B29" s="51" t="s">
        <v>40</v>
      </c>
      <c r="C29" s="14" t="s">
        <v>596</v>
      </c>
      <c r="D29" s="22" t="s">
        <v>6</v>
      </c>
      <c r="E29" s="611">
        <v>6507.9</v>
      </c>
      <c r="F29" s="16"/>
      <c r="G29" s="383">
        <f t="shared" si="2"/>
        <v>0</v>
      </c>
      <c r="H29" s="150"/>
      <c r="J29" s="41"/>
      <c r="K29" s="46"/>
      <c r="L29" s="41"/>
      <c r="M29" s="41"/>
    </row>
    <row r="30" spans="2:13" hidden="1" x14ac:dyDescent="0.2">
      <c r="B30" s="51"/>
      <c r="C30" s="14"/>
      <c r="D30" s="22"/>
      <c r="E30" s="614"/>
      <c r="F30" s="16"/>
      <c r="G30" s="383" t="str">
        <f t="shared" si="2"/>
        <v/>
      </c>
      <c r="H30" s="150"/>
      <c r="J30" s="41"/>
      <c r="K30" s="46"/>
      <c r="L30" s="41"/>
      <c r="M30" s="41"/>
    </row>
    <row r="31" spans="2:13" hidden="1" x14ac:dyDescent="0.2">
      <c r="B31" s="51" t="s">
        <v>597</v>
      </c>
      <c r="C31" s="14" t="s">
        <v>598</v>
      </c>
      <c r="D31" s="22"/>
      <c r="E31" s="614"/>
      <c r="F31" s="16"/>
      <c r="G31" s="383" t="str">
        <f t="shared" si="2"/>
        <v/>
      </c>
      <c r="H31" s="150"/>
      <c r="J31" s="41"/>
      <c r="K31" s="46"/>
      <c r="L31" s="41"/>
      <c r="M31" s="41"/>
    </row>
    <row r="32" spans="2:13" hidden="1" x14ac:dyDescent="0.2">
      <c r="B32" s="51"/>
      <c r="C32" s="14"/>
      <c r="D32" s="22"/>
      <c r="E32" s="614"/>
      <c r="F32" s="16"/>
      <c r="G32" s="383" t="str">
        <f t="shared" si="2"/>
        <v/>
      </c>
      <c r="H32" s="150"/>
      <c r="J32" s="41"/>
      <c r="K32" s="46"/>
      <c r="L32" s="41"/>
      <c r="M32" s="41"/>
    </row>
    <row r="33" spans="2:13" hidden="1" x14ac:dyDescent="0.2">
      <c r="B33" s="51" t="s">
        <v>34</v>
      </c>
      <c r="C33" s="14" t="s">
        <v>594</v>
      </c>
      <c r="D33" s="22" t="s">
        <v>6</v>
      </c>
      <c r="E33" s="614">
        <v>0</v>
      </c>
      <c r="F33" s="16"/>
      <c r="G33" s="383">
        <f t="shared" si="2"/>
        <v>0</v>
      </c>
      <c r="H33" s="150"/>
      <c r="J33" s="41"/>
      <c r="K33" s="46"/>
      <c r="L33" s="41"/>
      <c r="M33" s="41"/>
    </row>
    <row r="34" spans="2:13" hidden="1" x14ac:dyDescent="0.2">
      <c r="B34" s="51"/>
      <c r="C34" s="14"/>
      <c r="D34" s="22"/>
      <c r="E34" s="614"/>
      <c r="F34" s="16"/>
      <c r="G34" s="383" t="str">
        <f t="shared" si="2"/>
        <v/>
      </c>
      <c r="H34" s="150"/>
      <c r="J34" s="41"/>
      <c r="K34" s="46"/>
      <c r="L34" s="41"/>
      <c r="M34" s="41"/>
    </row>
    <row r="35" spans="2:13" hidden="1" x14ac:dyDescent="0.2">
      <c r="B35" s="51" t="s">
        <v>35</v>
      </c>
      <c r="C35" s="14" t="s">
        <v>599</v>
      </c>
      <c r="D35" s="22" t="s">
        <v>6</v>
      </c>
      <c r="E35" s="614">
        <v>0</v>
      </c>
      <c r="F35" s="16"/>
      <c r="G35" s="383">
        <f t="shared" si="2"/>
        <v>0</v>
      </c>
      <c r="H35" s="150"/>
      <c r="J35" s="41"/>
      <c r="K35" s="46"/>
      <c r="L35" s="41"/>
      <c r="M35" s="41"/>
    </row>
    <row r="36" spans="2:13" hidden="1" x14ac:dyDescent="0.2">
      <c r="B36" s="51"/>
      <c r="C36" s="14"/>
      <c r="D36" s="22"/>
      <c r="E36" s="614"/>
      <c r="F36" s="16"/>
      <c r="G36" s="383" t="str">
        <f t="shared" si="2"/>
        <v/>
      </c>
      <c r="H36" s="150"/>
      <c r="J36" s="41"/>
      <c r="K36" s="46"/>
      <c r="L36" s="41"/>
      <c r="M36" s="41"/>
    </row>
    <row r="37" spans="2:13" hidden="1" x14ac:dyDescent="0.2">
      <c r="B37" s="51" t="s">
        <v>40</v>
      </c>
      <c r="C37" s="14" t="s">
        <v>596</v>
      </c>
      <c r="D37" s="22" t="s">
        <v>6</v>
      </c>
      <c r="E37" s="614">
        <v>0</v>
      </c>
      <c r="F37" s="16"/>
      <c r="G37" s="383">
        <f t="shared" si="2"/>
        <v>0</v>
      </c>
      <c r="H37" s="150"/>
      <c r="J37" s="41"/>
      <c r="K37" s="46"/>
      <c r="L37" s="41"/>
      <c r="M37" s="41"/>
    </row>
    <row r="38" spans="2:13" x14ac:dyDescent="0.2">
      <c r="B38" s="51"/>
      <c r="C38" s="14"/>
      <c r="D38" s="22"/>
      <c r="E38" s="614"/>
      <c r="F38" s="16"/>
      <c r="G38" s="25" t="str">
        <f t="shared" si="2"/>
        <v/>
      </c>
      <c r="H38" s="42"/>
      <c r="J38" s="41"/>
      <c r="K38" s="46"/>
      <c r="L38" s="41"/>
      <c r="M38" s="41"/>
    </row>
    <row r="39" spans="2:13" ht="25.5" x14ac:dyDescent="0.2">
      <c r="B39" s="51" t="s">
        <v>600</v>
      </c>
      <c r="C39" s="14" t="s">
        <v>601</v>
      </c>
      <c r="D39" s="22"/>
      <c r="E39" s="614"/>
      <c r="F39" s="16"/>
      <c r="G39" s="25" t="str">
        <f t="shared" si="2"/>
        <v/>
      </c>
      <c r="H39" s="42"/>
      <c r="J39" s="41"/>
      <c r="K39" s="46"/>
      <c r="L39" s="41"/>
      <c r="M39" s="41"/>
    </row>
    <row r="40" spans="2:13" x14ac:dyDescent="0.2">
      <c r="B40" s="51"/>
      <c r="C40" s="14"/>
      <c r="D40" s="22"/>
      <c r="E40" s="614"/>
      <c r="F40" s="16"/>
      <c r="G40" s="25" t="str">
        <f t="shared" si="2"/>
        <v/>
      </c>
      <c r="H40" s="42"/>
      <c r="J40" s="41"/>
      <c r="K40" s="46" t="str">
        <f t="shared" si="1"/>
        <v/>
      </c>
      <c r="L40" s="41"/>
      <c r="M40" s="41"/>
    </row>
    <row r="41" spans="2:13" x14ac:dyDescent="0.2">
      <c r="B41" s="51" t="s">
        <v>602</v>
      </c>
      <c r="C41" s="14" t="s">
        <v>603</v>
      </c>
      <c r="D41" s="22"/>
      <c r="E41" s="614"/>
      <c r="F41" s="16"/>
      <c r="G41" s="25" t="str">
        <f t="shared" si="2"/>
        <v/>
      </c>
      <c r="H41" s="42"/>
      <c r="J41" s="41"/>
      <c r="K41" s="46" t="str">
        <f t="shared" si="1"/>
        <v/>
      </c>
      <c r="L41" s="41"/>
      <c r="M41" s="41"/>
    </row>
    <row r="42" spans="2:13" x14ac:dyDescent="0.2">
      <c r="B42" s="51"/>
      <c r="C42" s="14"/>
      <c r="D42" s="22"/>
      <c r="E42" s="614"/>
      <c r="F42" s="16"/>
      <c r="G42" s="25" t="str">
        <f t="shared" si="2"/>
        <v/>
      </c>
      <c r="H42" s="42"/>
      <c r="J42" s="41"/>
      <c r="K42" s="46" t="str">
        <f t="shared" si="1"/>
        <v/>
      </c>
      <c r="L42" s="41"/>
      <c r="M42" s="41"/>
    </row>
    <row r="43" spans="2:13" ht="27" x14ac:dyDescent="0.2">
      <c r="B43" s="51" t="s">
        <v>34</v>
      </c>
      <c r="C43" s="14" t="s">
        <v>604</v>
      </c>
      <c r="D43" s="22" t="s">
        <v>23</v>
      </c>
      <c r="E43" s="614">
        <v>12.03</v>
      </c>
      <c r="F43" s="16"/>
      <c r="G43" s="25">
        <f t="shared" si="2"/>
        <v>0</v>
      </c>
      <c r="H43" s="42"/>
      <c r="J43" s="41"/>
      <c r="K43" s="46" t="str">
        <f t="shared" si="1"/>
        <v/>
      </c>
      <c r="L43" s="41"/>
      <c r="M43" s="41"/>
    </row>
    <row r="44" spans="2:13" x14ac:dyDescent="0.2">
      <c r="B44" s="51"/>
      <c r="C44" s="14"/>
      <c r="D44" s="22"/>
      <c r="E44" s="614"/>
      <c r="F44" s="16"/>
      <c r="G44" s="25" t="str">
        <f t="shared" si="2"/>
        <v/>
      </c>
      <c r="H44" s="42"/>
      <c r="J44" s="41"/>
      <c r="K44" s="46" t="str">
        <f t="shared" si="1"/>
        <v/>
      </c>
      <c r="L44" s="41"/>
      <c r="M44" s="41"/>
    </row>
    <row r="45" spans="2:13" ht="27" x14ac:dyDescent="0.2">
      <c r="B45" s="51" t="s">
        <v>35</v>
      </c>
      <c r="C45" s="14" t="s">
        <v>605</v>
      </c>
      <c r="D45" s="22" t="s">
        <v>23</v>
      </c>
      <c r="E45" s="614">
        <v>109.05</v>
      </c>
      <c r="F45" s="16"/>
      <c r="G45" s="25">
        <f t="shared" si="2"/>
        <v>0</v>
      </c>
      <c r="H45" s="42"/>
      <c r="J45" s="41"/>
      <c r="K45" s="46" t="str">
        <f t="shared" si="1"/>
        <v/>
      </c>
      <c r="L45" s="41"/>
      <c r="M45" s="41"/>
    </row>
    <row r="46" spans="2:13" x14ac:dyDescent="0.2">
      <c r="B46" s="51"/>
      <c r="C46" s="14"/>
      <c r="D46" s="22"/>
      <c r="E46" s="614"/>
      <c r="F46" s="16"/>
      <c r="G46" s="25" t="str">
        <f t="shared" si="2"/>
        <v/>
      </c>
      <c r="H46" s="42"/>
      <c r="J46" s="41"/>
      <c r="K46" s="46" t="str">
        <f t="shared" si="1"/>
        <v/>
      </c>
      <c r="L46" s="41"/>
      <c r="M46" s="41"/>
    </row>
    <row r="47" spans="2:13" ht="27" x14ac:dyDescent="0.2">
      <c r="B47" s="51" t="s">
        <v>40</v>
      </c>
      <c r="C47" s="14" t="s">
        <v>606</v>
      </c>
      <c r="D47" s="22" t="s">
        <v>23</v>
      </c>
      <c r="E47" s="614">
        <v>173.49</v>
      </c>
      <c r="F47" s="16"/>
      <c r="G47" s="25">
        <f t="shared" si="2"/>
        <v>0</v>
      </c>
      <c r="H47" s="42"/>
    </row>
    <row r="48" spans="2:13" x14ac:dyDescent="0.2">
      <c r="B48" s="51"/>
      <c r="C48" s="14"/>
      <c r="D48" s="22"/>
      <c r="E48" s="615"/>
      <c r="F48" s="16"/>
      <c r="G48" s="25" t="str">
        <f t="shared" si="2"/>
        <v/>
      </c>
    </row>
    <row r="49" spans="2:8" ht="14.25" x14ac:dyDescent="0.2">
      <c r="B49" s="51" t="s">
        <v>37</v>
      </c>
      <c r="C49" s="14" t="s">
        <v>607</v>
      </c>
      <c r="D49" s="22" t="s">
        <v>23</v>
      </c>
      <c r="E49" s="614">
        <v>648.27</v>
      </c>
      <c r="F49" s="16"/>
      <c r="G49" s="25">
        <f t="shared" si="2"/>
        <v>0</v>
      </c>
      <c r="H49" s="42"/>
    </row>
    <row r="50" spans="2:8" x14ac:dyDescent="0.2">
      <c r="B50" s="51"/>
      <c r="C50" s="14"/>
      <c r="D50" s="22"/>
      <c r="E50" s="615"/>
      <c r="F50" s="16"/>
      <c r="G50" s="25" t="str">
        <f t="shared" si="2"/>
        <v/>
      </c>
      <c r="H50" s="50"/>
    </row>
    <row r="51" spans="2:8" x14ac:dyDescent="0.2">
      <c r="B51" s="51" t="s">
        <v>608</v>
      </c>
      <c r="C51" s="14" t="s">
        <v>609</v>
      </c>
      <c r="D51" s="22"/>
      <c r="E51" s="615"/>
      <c r="F51" s="16"/>
      <c r="G51" s="25" t="str">
        <f t="shared" si="2"/>
        <v/>
      </c>
    </row>
    <row r="52" spans="2:8" x14ac:dyDescent="0.2">
      <c r="B52" s="51"/>
      <c r="C52" s="14"/>
      <c r="D52" s="22"/>
      <c r="E52" s="614"/>
      <c r="F52" s="16"/>
      <c r="G52" s="25" t="str">
        <f t="shared" si="2"/>
        <v/>
      </c>
      <c r="H52" s="42"/>
    </row>
    <row r="53" spans="2:8" ht="27" x14ac:dyDescent="0.2">
      <c r="B53" s="51" t="s">
        <v>34</v>
      </c>
      <c r="C53" s="14" t="s">
        <v>604</v>
      </c>
      <c r="D53" s="22" t="s">
        <v>23</v>
      </c>
      <c r="E53" s="614">
        <v>12.75</v>
      </c>
      <c r="F53" s="16"/>
      <c r="G53" s="25">
        <f t="shared" si="2"/>
        <v>0</v>
      </c>
      <c r="H53" s="42"/>
    </row>
    <row r="54" spans="2:8" x14ac:dyDescent="0.2">
      <c r="B54" s="51"/>
      <c r="C54" s="14"/>
      <c r="D54" s="22"/>
      <c r="E54" s="614"/>
      <c r="F54" s="16"/>
      <c r="G54" s="25" t="str">
        <f t="shared" si="2"/>
        <v/>
      </c>
      <c r="H54" s="42"/>
    </row>
    <row r="55" spans="2:8" ht="27" x14ac:dyDescent="0.2">
      <c r="B55" s="51" t="s">
        <v>35</v>
      </c>
      <c r="C55" s="14" t="s">
        <v>605</v>
      </c>
      <c r="D55" s="22" t="s">
        <v>23</v>
      </c>
      <c r="E55" s="614">
        <v>339.03</v>
      </c>
      <c r="F55" s="16"/>
      <c r="G55" s="25">
        <f t="shared" si="2"/>
        <v>0</v>
      </c>
      <c r="H55" s="42"/>
    </row>
    <row r="56" spans="2:8" x14ac:dyDescent="0.2">
      <c r="B56" s="51"/>
      <c r="C56" s="14"/>
      <c r="D56" s="22"/>
      <c r="E56" s="614"/>
      <c r="F56" s="16"/>
      <c r="G56" s="25" t="str">
        <f t="shared" si="2"/>
        <v/>
      </c>
      <c r="H56" s="42"/>
    </row>
    <row r="57" spans="2:8" ht="27" x14ac:dyDescent="0.2">
      <c r="B57" s="51" t="s">
        <v>40</v>
      </c>
      <c r="C57" s="14" t="s">
        <v>606</v>
      </c>
      <c r="D57" s="22" t="s">
        <v>23</v>
      </c>
      <c r="E57" s="614">
        <v>588.27</v>
      </c>
      <c r="F57" s="16"/>
      <c r="G57" s="25">
        <f t="shared" si="2"/>
        <v>0</v>
      </c>
      <c r="H57" s="42"/>
    </row>
    <row r="58" spans="2:8" x14ac:dyDescent="0.2">
      <c r="B58" s="51"/>
      <c r="C58" s="14"/>
      <c r="D58" s="22"/>
      <c r="E58" s="615"/>
      <c r="F58" s="16"/>
      <c r="G58" s="25" t="str">
        <f t="shared" si="2"/>
        <v/>
      </c>
      <c r="H58" s="42"/>
    </row>
    <row r="59" spans="2:8" ht="14.25" x14ac:dyDescent="0.2">
      <c r="B59" s="51" t="s">
        <v>37</v>
      </c>
      <c r="C59" s="14" t="s">
        <v>607</v>
      </c>
      <c r="D59" s="22" t="s">
        <v>23</v>
      </c>
      <c r="E59" s="614">
        <v>2223.12</v>
      </c>
      <c r="F59" s="16"/>
      <c r="G59" s="25">
        <f t="shared" si="2"/>
        <v>0</v>
      </c>
      <c r="H59" s="42"/>
    </row>
    <row r="60" spans="2:8" x14ac:dyDescent="0.2">
      <c r="B60" s="13"/>
      <c r="C60" s="27"/>
      <c r="D60" s="22"/>
      <c r="E60" s="614"/>
      <c r="F60" s="16"/>
      <c r="G60" s="25" t="str">
        <f>IF(D60="","",E60*F60)</f>
        <v/>
      </c>
      <c r="H60" s="42"/>
    </row>
    <row r="61" spans="2:8" x14ac:dyDescent="0.2">
      <c r="B61" s="51" t="s">
        <v>610</v>
      </c>
      <c r="C61" s="14" t="s">
        <v>617</v>
      </c>
      <c r="D61" s="22"/>
      <c r="E61" s="614"/>
      <c r="F61" s="16"/>
      <c r="G61" s="25"/>
      <c r="H61" s="42"/>
    </row>
    <row r="62" spans="2:8" x14ac:dyDescent="0.2">
      <c r="B62" s="51"/>
      <c r="C62" s="14"/>
      <c r="D62" s="22"/>
      <c r="E62" s="614"/>
      <c r="F62" s="16"/>
      <c r="G62" s="25"/>
      <c r="H62" s="42"/>
    </row>
    <row r="63" spans="2:8" ht="27" x14ac:dyDescent="0.2">
      <c r="B63" s="51" t="s">
        <v>34</v>
      </c>
      <c r="C63" s="14" t="s">
        <v>604</v>
      </c>
      <c r="D63" s="22" t="s">
        <v>23</v>
      </c>
      <c r="E63" s="616">
        <v>129</v>
      </c>
      <c r="F63" s="16"/>
      <c r="G63" s="25">
        <f>IF(D63="","",E63*F63)</f>
        <v>0</v>
      </c>
      <c r="H63" s="42"/>
    </row>
    <row r="64" spans="2:8" ht="27" x14ac:dyDescent="0.2">
      <c r="B64" s="51" t="s">
        <v>35</v>
      </c>
      <c r="C64" s="14" t="s">
        <v>605</v>
      </c>
      <c r="D64" s="22" t="s">
        <v>23</v>
      </c>
      <c r="E64" s="614">
        <v>630.6</v>
      </c>
      <c r="F64" s="16"/>
      <c r="G64" s="25">
        <f>IF(D64="","",E64*F64)</f>
        <v>0</v>
      </c>
      <c r="H64" s="42"/>
    </row>
    <row r="65" spans="1:11" s="30" customFormat="1" ht="24.95" customHeight="1" x14ac:dyDescent="0.2">
      <c r="B65" s="77" t="str">
        <f>$B$11</f>
        <v>C8.8</v>
      </c>
      <c r="C65" s="32" t="str">
        <f>"TOTAL CARRIED FORWARD"&amp;IF(G65=G$1," TO SUMMARY (Page C"&amp;Page_A&amp;")","")</f>
        <v>TOTAL CARRIED FORWARD TO SUMMARY (Page C49)</v>
      </c>
      <c r="D65" s="33"/>
      <c r="E65" s="34"/>
      <c r="F65" s="33"/>
      <c r="G65" s="352">
        <f>SUM(G10:G64)</f>
        <v>0</v>
      </c>
      <c r="H65" s="36"/>
      <c r="K65" s="35">
        <f>SUM(K10:K64)</f>
        <v>0</v>
      </c>
    </row>
    <row r="66" spans="1:11" x14ac:dyDescent="0.2">
      <c r="B66" s="689" t="str">
        <f>Client1</f>
        <v>Province of KwaZulu-Natal</v>
      </c>
      <c r="C66" s="689"/>
      <c r="D66" s="689"/>
      <c r="E66" s="687" t="str">
        <f>"Contract No. "&amp;ContractNo</f>
        <v>Contract No. ZNB02287/00000/00/MET/INF/24/T</v>
      </c>
      <c r="F66" s="687"/>
      <c r="G66" s="687"/>
    </row>
    <row r="67" spans="1:11" x14ac:dyDescent="0.2">
      <c r="B67" s="689" t="str">
        <f>Client2</f>
        <v>Department of Transport</v>
      </c>
      <c r="C67" s="689"/>
      <c r="D67" s="689"/>
      <c r="E67" s="687"/>
      <c r="F67" s="687"/>
      <c r="G67" s="687"/>
    </row>
    <row r="68" spans="1:11" x14ac:dyDescent="0.2">
      <c r="B68" s="690"/>
      <c r="C68" s="690"/>
      <c r="D68" s="690"/>
      <c r="E68" s="688"/>
      <c r="F68" s="688"/>
      <c r="G68" s="688"/>
    </row>
    <row r="69" spans="1:11" x14ac:dyDescent="0.2">
      <c r="B69" s="698" t="s">
        <v>8</v>
      </c>
      <c r="C69" s="699"/>
      <c r="D69" s="699"/>
      <c r="E69" s="699"/>
      <c r="F69" s="699"/>
      <c r="G69" s="700" t="str">
        <f>G5</f>
        <v>CHAPTER C8.8</v>
      </c>
      <c r="H69" s="6"/>
    </row>
    <row r="70" spans="1:11" x14ac:dyDescent="0.2">
      <c r="B70" s="691" t="str">
        <f>ContractDescription</f>
        <v>PROVISION OF ROUTINE AND SAFETY MAINTENANCE ON MIAN ROAD P3/1 (KM 69.00 TO KM 77.96), P3/2 (KM 0.00 TO KM 11.50), P21/2(KM 0.00 TO KM 29.83 IN THE ETHEKWINI METRO - DURBAN REGION</v>
      </c>
      <c r="C70" s="692"/>
      <c r="D70" s="692"/>
      <c r="E70" s="692"/>
      <c r="F70" s="692"/>
      <c r="G70" s="701"/>
      <c r="H70" s="8"/>
    </row>
    <row r="71" spans="1:11" x14ac:dyDescent="0.2">
      <c r="B71" s="691"/>
      <c r="C71" s="692"/>
      <c r="D71" s="692"/>
      <c r="E71" s="692"/>
      <c r="F71" s="692"/>
      <c r="G71" s="701"/>
      <c r="H71" s="8"/>
    </row>
    <row r="72" spans="1:11" x14ac:dyDescent="0.2">
      <c r="B72" s="693"/>
      <c r="C72" s="694"/>
      <c r="D72" s="694"/>
      <c r="E72" s="694"/>
      <c r="F72" s="694"/>
      <c r="G72" s="702"/>
      <c r="H72" s="8"/>
    </row>
    <row r="73" spans="1:11" x14ac:dyDescent="0.2">
      <c r="A73" s="9"/>
      <c r="B73" s="68" t="s">
        <v>0</v>
      </c>
      <c r="C73" s="11" t="s">
        <v>1</v>
      </c>
      <c r="D73" s="11" t="s">
        <v>2</v>
      </c>
      <c r="E73" s="11" t="s">
        <v>3</v>
      </c>
      <c r="F73" s="11" t="s">
        <v>4</v>
      </c>
      <c r="G73" s="11" t="s">
        <v>5</v>
      </c>
      <c r="H73" s="12"/>
    </row>
    <row r="74" spans="1:11" x14ac:dyDescent="0.2">
      <c r="A74" s="30"/>
      <c r="B74" s="74"/>
      <c r="C74" s="32" t="s">
        <v>26</v>
      </c>
      <c r="D74" s="33"/>
      <c r="E74" s="34"/>
      <c r="F74" s="33"/>
      <c r="G74" s="352">
        <f>G65</f>
        <v>0</v>
      </c>
      <c r="H74" s="36"/>
    </row>
    <row r="75" spans="1:11" x14ac:dyDescent="0.2">
      <c r="B75" s="69"/>
      <c r="C75" s="14"/>
      <c r="D75" s="22"/>
      <c r="E75" s="22"/>
      <c r="F75" s="16"/>
      <c r="G75" s="25" t="str">
        <f t="shared" ref="G75:G112" si="3">IF(D75="","",E75*F75)</f>
        <v/>
      </c>
      <c r="H75" s="42"/>
    </row>
    <row r="76" spans="1:11" ht="27" x14ac:dyDescent="0.2">
      <c r="B76" s="51" t="s">
        <v>40</v>
      </c>
      <c r="C76" s="14" t="s">
        <v>606</v>
      </c>
      <c r="D76" s="22" t="s">
        <v>23</v>
      </c>
      <c r="E76" s="22">
        <v>581.91</v>
      </c>
      <c r="F76" s="16"/>
      <c r="G76" s="25">
        <f t="shared" si="3"/>
        <v>0</v>
      </c>
      <c r="H76" s="42"/>
    </row>
    <row r="77" spans="1:11" x14ac:dyDescent="0.2">
      <c r="B77" s="51"/>
      <c r="C77" s="14"/>
      <c r="D77" s="22"/>
      <c r="E77" s="22"/>
      <c r="F77" s="16"/>
      <c r="G77" s="25" t="str">
        <f t="shared" si="3"/>
        <v/>
      </c>
      <c r="H77" s="42"/>
    </row>
    <row r="78" spans="1:11" ht="14.25" x14ac:dyDescent="0.2">
      <c r="B78" s="51" t="s">
        <v>37</v>
      </c>
      <c r="C78" s="14" t="s">
        <v>607</v>
      </c>
      <c r="D78" s="22" t="s">
        <v>23</v>
      </c>
      <c r="E78" s="22">
        <v>3771.51</v>
      </c>
      <c r="F78" s="16"/>
      <c r="G78" s="25">
        <f t="shared" si="3"/>
        <v>0</v>
      </c>
      <c r="H78" s="42"/>
    </row>
    <row r="79" spans="1:11" ht="8.4499999999999993" customHeight="1" x14ac:dyDescent="0.2">
      <c r="B79" s="76"/>
      <c r="C79" s="14"/>
      <c r="D79" s="22"/>
      <c r="E79" s="22"/>
      <c r="F79" s="16"/>
      <c r="G79" s="25" t="str">
        <f t="shared" si="3"/>
        <v/>
      </c>
      <c r="H79" s="42"/>
    </row>
    <row r="80" spans="1:11" ht="25.5" x14ac:dyDescent="0.2">
      <c r="B80" s="51" t="s">
        <v>611</v>
      </c>
      <c r="C80" s="14" t="s">
        <v>618</v>
      </c>
      <c r="D80" s="22" t="s">
        <v>51</v>
      </c>
      <c r="E80" s="22">
        <v>22449</v>
      </c>
      <c r="F80" s="41"/>
      <c r="G80" s="25">
        <f t="shared" si="3"/>
        <v>0</v>
      </c>
      <c r="H80" s="42"/>
    </row>
    <row r="81" spans="2:8" x14ac:dyDescent="0.2">
      <c r="B81" s="51"/>
      <c r="C81" s="14"/>
      <c r="D81" s="22"/>
      <c r="E81" s="22"/>
      <c r="F81" s="16"/>
      <c r="G81" s="25" t="str">
        <f t="shared" si="3"/>
        <v/>
      </c>
      <c r="H81" s="150"/>
    </row>
    <row r="82" spans="2:8" x14ac:dyDescent="0.2">
      <c r="B82" s="51" t="s">
        <v>612</v>
      </c>
      <c r="C82" s="14" t="s">
        <v>613</v>
      </c>
      <c r="D82" s="22"/>
      <c r="E82" s="22"/>
      <c r="F82" s="16"/>
      <c r="G82" s="25" t="str">
        <f t="shared" si="3"/>
        <v/>
      </c>
      <c r="H82" s="150"/>
    </row>
    <row r="83" spans="2:8" ht="9.6" customHeight="1" x14ac:dyDescent="0.2">
      <c r="B83" s="51"/>
      <c r="C83" s="14"/>
      <c r="D83" s="22"/>
      <c r="E83" s="22"/>
      <c r="F83" s="16"/>
      <c r="G83" s="25" t="str">
        <f t="shared" si="3"/>
        <v/>
      </c>
      <c r="H83" s="150"/>
    </row>
    <row r="84" spans="2:8" ht="38.25" x14ac:dyDescent="0.2">
      <c r="B84" s="51" t="s">
        <v>614</v>
      </c>
      <c r="C84" s="14" t="s">
        <v>689</v>
      </c>
      <c r="D84" s="22"/>
      <c r="E84" s="22"/>
      <c r="F84" s="16"/>
      <c r="G84" s="25" t="str">
        <f t="shared" si="3"/>
        <v/>
      </c>
      <c r="H84" s="150"/>
    </row>
    <row r="85" spans="2:8" ht="9" customHeight="1" x14ac:dyDescent="0.2">
      <c r="B85" s="51"/>
      <c r="C85" s="14"/>
      <c r="D85" s="22"/>
      <c r="E85" s="22"/>
      <c r="F85" s="16"/>
      <c r="G85" s="25" t="str">
        <f t="shared" si="3"/>
        <v/>
      </c>
      <c r="H85" s="150"/>
    </row>
    <row r="86" spans="2:8" ht="27" x14ac:dyDescent="0.2">
      <c r="B86" s="51" t="s">
        <v>34</v>
      </c>
      <c r="C86" s="14" t="s">
        <v>604</v>
      </c>
      <c r="D86" s="22" t="s">
        <v>23</v>
      </c>
      <c r="E86" s="22">
        <v>141.75</v>
      </c>
      <c r="F86" s="76"/>
      <c r="G86" s="25">
        <f t="shared" si="3"/>
        <v>0</v>
      </c>
      <c r="H86" s="150"/>
    </row>
    <row r="87" spans="2:8" ht="9.6" customHeight="1" x14ac:dyDescent="0.2">
      <c r="B87" s="51"/>
      <c r="C87" s="14"/>
      <c r="D87" s="22"/>
      <c r="E87" s="22"/>
      <c r="F87" s="76"/>
      <c r="G87" s="25" t="str">
        <f t="shared" si="3"/>
        <v/>
      </c>
      <c r="H87" s="150"/>
    </row>
    <row r="88" spans="2:8" ht="27" x14ac:dyDescent="0.2">
      <c r="B88" s="51" t="s">
        <v>35</v>
      </c>
      <c r="C88" s="14" t="s">
        <v>605</v>
      </c>
      <c r="D88" s="22" t="s">
        <v>23</v>
      </c>
      <c r="E88" s="22">
        <v>969.63</v>
      </c>
      <c r="F88" s="76"/>
      <c r="G88" s="25">
        <f t="shared" si="3"/>
        <v>0</v>
      </c>
      <c r="H88" s="150"/>
    </row>
    <row r="89" spans="2:8" x14ac:dyDescent="0.2">
      <c r="B89" s="51"/>
      <c r="C89" s="14"/>
      <c r="D89" s="22"/>
      <c r="E89" s="22"/>
      <c r="F89" s="76"/>
      <c r="G89" s="25" t="str">
        <f t="shared" si="3"/>
        <v/>
      </c>
      <c r="H89" s="150"/>
    </row>
    <row r="90" spans="2:8" ht="27" x14ac:dyDescent="0.2">
      <c r="B90" s="51" t="s">
        <v>40</v>
      </c>
      <c r="C90" s="14" t="s">
        <v>606</v>
      </c>
      <c r="D90" s="22" t="s">
        <v>23</v>
      </c>
      <c r="E90" s="22">
        <v>1170.18</v>
      </c>
      <c r="F90" s="76"/>
      <c r="G90" s="25">
        <f t="shared" si="3"/>
        <v>0</v>
      </c>
      <c r="H90" s="150"/>
    </row>
    <row r="91" spans="2:8" x14ac:dyDescent="0.2">
      <c r="B91" s="51"/>
      <c r="C91" s="14"/>
      <c r="D91" s="22"/>
      <c r="E91" s="22"/>
      <c r="F91" s="76"/>
      <c r="G91" s="25" t="str">
        <f t="shared" si="3"/>
        <v/>
      </c>
      <c r="H91" s="150"/>
    </row>
    <row r="92" spans="2:8" ht="14.25" x14ac:dyDescent="0.2">
      <c r="B92" s="51" t="s">
        <v>37</v>
      </c>
      <c r="C92" s="14" t="s">
        <v>607</v>
      </c>
      <c r="D92" s="22" t="s">
        <v>23</v>
      </c>
      <c r="E92" s="22">
        <v>5994.63</v>
      </c>
      <c r="F92" s="76"/>
      <c r="G92" s="25">
        <f t="shared" si="3"/>
        <v>0</v>
      </c>
      <c r="H92" s="150"/>
    </row>
    <row r="93" spans="2:8" ht="8.4499999999999993" customHeight="1" x14ac:dyDescent="0.2">
      <c r="B93" s="51"/>
      <c r="C93" s="14"/>
      <c r="D93" s="22"/>
      <c r="E93" s="22"/>
      <c r="F93" s="76"/>
      <c r="G93" s="25" t="str">
        <f t="shared" si="3"/>
        <v/>
      </c>
      <c r="H93" s="150"/>
    </row>
    <row r="94" spans="2:8" ht="38.25" x14ac:dyDescent="0.2">
      <c r="B94" s="51" t="s">
        <v>974</v>
      </c>
      <c r="C94" s="14" t="s">
        <v>975</v>
      </c>
      <c r="D94" s="22"/>
      <c r="E94" s="22"/>
      <c r="F94" s="16"/>
      <c r="G94" s="25" t="str">
        <f t="shared" si="3"/>
        <v/>
      </c>
      <c r="H94" s="150"/>
    </row>
    <row r="95" spans="2:8" ht="9.6" customHeight="1" x14ac:dyDescent="0.2">
      <c r="B95" s="51"/>
      <c r="C95" s="14"/>
      <c r="D95" s="22"/>
      <c r="E95" s="22"/>
      <c r="F95" s="16"/>
      <c r="G95" s="25" t="str">
        <f t="shared" si="3"/>
        <v/>
      </c>
      <c r="H95" s="150"/>
    </row>
    <row r="96" spans="2:8" ht="25.5" x14ac:dyDescent="0.2">
      <c r="B96" s="51"/>
      <c r="C96" s="14" t="s">
        <v>976</v>
      </c>
      <c r="D96" s="22" t="s">
        <v>181</v>
      </c>
      <c r="E96" s="22">
        <v>86.01</v>
      </c>
      <c r="F96" s="16"/>
      <c r="G96" s="25">
        <f t="shared" si="3"/>
        <v>0</v>
      </c>
      <c r="H96" s="150"/>
    </row>
    <row r="97" spans="2:8" x14ac:dyDescent="0.2">
      <c r="B97" s="51"/>
      <c r="C97" s="14"/>
      <c r="D97" s="22"/>
      <c r="E97" s="22"/>
      <c r="F97" s="16"/>
      <c r="G97" s="25"/>
      <c r="H97" s="150"/>
    </row>
    <row r="98" spans="2:8" ht="25.5" x14ac:dyDescent="0.2">
      <c r="B98" s="51"/>
      <c r="C98" s="14" t="s">
        <v>977</v>
      </c>
      <c r="D98" s="22" t="s">
        <v>181</v>
      </c>
      <c r="E98" s="22">
        <v>420.39</v>
      </c>
      <c r="F98" s="16"/>
      <c r="G98" s="25">
        <f t="shared" si="3"/>
        <v>0</v>
      </c>
      <c r="H98" s="150"/>
    </row>
    <row r="99" spans="2:8" ht="8.4499999999999993" customHeight="1" x14ac:dyDescent="0.2">
      <c r="B99" s="51"/>
      <c r="C99" s="14"/>
      <c r="D99" s="22"/>
      <c r="E99" s="22"/>
      <c r="F99" s="16"/>
      <c r="G99" s="25"/>
      <c r="H99" s="150"/>
    </row>
    <row r="100" spans="2:8" ht="25.5" x14ac:dyDescent="0.2">
      <c r="B100" s="51"/>
      <c r="C100" s="14" t="s">
        <v>978</v>
      </c>
      <c r="D100" s="22" t="s">
        <v>181</v>
      </c>
      <c r="E100" s="22">
        <v>387.93</v>
      </c>
      <c r="F100" s="16"/>
      <c r="G100" s="25">
        <f t="shared" si="3"/>
        <v>0</v>
      </c>
      <c r="H100" s="150"/>
    </row>
    <row r="101" spans="2:8" ht="6.95" customHeight="1" x14ac:dyDescent="0.2">
      <c r="B101" s="51"/>
      <c r="C101" s="14"/>
      <c r="D101" s="22"/>
      <c r="E101" s="22"/>
      <c r="F101" s="16"/>
      <c r="G101" s="25"/>
      <c r="H101" s="150"/>
    </row>
    <row r="102" spans="2:8" x14ac:dyDescent="0.2">
      <c r="B102" s="51"/>
      <c r="C102" s="14" t="s">
        <v>979</v>
      </c>
      <c r="D102" s="22" t="s">
        <v>181</v>
      </c>
      <c r="E102" s="22">
        <v>2514.33</v>
      </c>
      <c r="F102" s="16"/>
      <c r="G102" s="25">
        <f t="shared" si="3"/>
        <v>0</v>
      </c>
      <c r="H102" s="150"/>
    </row>
    <row r="103" spans="2:8" x14ac:dyDescent="0.2">
      <c r="B103" s="51"/>
      <c r="C103" s="14"/>
      <c r="D103" s="22"/>
      <c r="E103" s="22"/>
      <c r="F103" s="16"/>
      <c r="G103" s="25"/>
      <c r="H103" s="150"/>
    </row>
    <row r="104" spans="2:8" ht="51" x14ac:dyDescent="0.2">
      <c r="B104" s="51" t="s">
        <v>615</v>
      </c>
      <c r="C104" s="14" t="s">
        <v>690</v>
      </c>
      <c r="D104" s="22"/>
      <c r="E104" s="22"/>
      <c r="F104" s="16"/>
      <c r="G104" s="25" t="str">
        <f t="shared" si="3"/>
        <v/>
      </c>
      <c r="H104" s="150"/>
    </row>
    <row r="105" spans="2:8" x14ac:dyDescent="0.2">
      <c r="B105" s="51"/>
      <c r="C105" s="14"/>
      <c r="D105" s="22"/>
      <c r="E105" s="22"/>
      <c r="F105" s="16"/>
      <c r="G105" s="25" t="str">
        <f t="shared" si="3"/>
        <v/>
      </c>
      <c r="H105" s="150"/>
    </row>
    <row r="106" spans="2:8" ht="27" x14ac:dyDescent="0.2">
      <c r="B106" s="51" t="s">
        <v>34</v>
      </c>
      <c r="C106" s="14" t="s">
        <v>604</v>
      </c>
      <c r="D106" s="22" t="s">
        <v>7</v>
      </c>
      <c r="E106" s="22">
        <v>30.09</v>
      </c>
      <c r="F106" s="16"/>
      <c r="G106" s="25">
        <f t="shared" si="3"/>
        <v>0</v>
      </c>
      <c r="H106" s="150"/>
    </row>
    <row r="107" spans="2:8" x14ac:dyDescent="0.2">
      <c r="B107" s="51"/>
      <c r="C107" s="14"/>
      <c r="D107" s="22"/>
      <c r="E107" s="22"/>
      <c r="F107" s="16"/>
      <c r="G107" s="25" t="str">
        <f t="shared" si="3"/>
        <v/>
      </c>
      <c r="H107" s="150"/>
    </row>
    <row r="108" spans="2:8" ht="27" x14ac:dyDescent="0.2">
      <c r="B108" s="51" t="s">
        <v>35</v>
      </c>
      <c r="C108" s="14" t="s">
        <v>605</v>
      </c>
      <c r="D108" s="22" t="s">
        <v>7</v>
      </c>
      <c r="E108" s="22">
        <v>272.64</v>
      </c>
      <c r="F108" s="16"/>
      <c r="G108" s="25">
        <f t="shared" si="3"/>
        <v>0</v>
      </c>
      <c r="H108" s="150"/>
    </row>
    <row r="109" spans="2:8" ht="8.4499999999999993" customHeight="1" x14ac:dyDescent="0.2">
      <c r="B109" s="51"/>
      <c r="C109" s="14"/>
      <c r="D109" s="22"/>
      <c r="E109" s="22"/>
      <c r="F109" s="16"/>
      <c r="G109" s="25" t="str">
        <f t="shared" si="3"/>
        <v/>
      </c>
      <c r="H109" s="150"/>
    </row>
    <row r="110" spans="2:8" ht="27" x14ac:dyDescent="0.2">
      <c r="B110" s="51" t="s">
        <v>40</v>
      </c>
      <c r="C110" s="14" t="s">
        <v>606</v>
      </c>
      <c r="D110" s="22" t="s">
        <v>7</v>
      </c>
      <c r="E110" s="22">
        <v>433.74</v>
      </c>
      <c r="F110" s="16"/>
      <c r="G110" s="25">
        <f t="shared" si="3"/>
        <v>0</v>
      </c>
      <c r="H110" s="150"/>
    </row>
    <row r="111" spans="2:8" ht="9.6" customHeight="1" x14ac:dyDescent="0.2">
      <c r="B111" s="51"/>
      <c r="C111" s="14"/>
      <c r="D111" s="22"/>
      <c r="E111" s="22"/>
      <c r="F111" s="16"/>
      <c r="G111" s="25" t="str">
        <f t="shared" si="3"/>
        <v/>
      </c>
      <c r="H111" s="150"/>
    </row>
    <row r="112" spans="2:8" ht="14.25" x14ac:dyDescent="0.2">
      <c r="B112" s="51" t="s">
        <v>37</v>
      </c>
      <c r="C112" s="14" t="s">
        <v>607</v>
      </c>
      <c r="D112" s="22" t="s">
        <v>7</v>
      </c>
      <c r="E112" s="22">
        <v>1420.69</v>
      </c>
      <c r="F112" s="16"/>
      <c r="G112" s="25">
        <f t="shared" si="3"/>
        <v>0</v>
      </c>
      <c r="H112" s="150"/>
    </row>
    <row r="113" spans="2:8" hidden="1" x14ac:dyDescent="0.2">
      <c r="B113" s="51"/>
      <c r="C113" s="14"/>
      <c r="D113" s="22"/>
      <c r="E113" s="22"/>
      <c r="F113" s="16"/>
      <c r="G113" s="25"/>
      <c r="H113" s="150"/>
    </row>
    <row r="114" spans="2:8" ht="25.5" hidden="1" x14ac:dyDescent="0.2">
      <c r="B114" s="51" t="s">
        <v>616</v>
      </c>
      <c r="C114" s="14" t="s">
        <v>691</v>
      </c>
      <c r="D114" s="22"/>
      <c r="E114" s="22"/>
      <c r="F114" s="16"/>
      <c r="G114" s="25"/>
      <c r="H114" s="150"/>
    </row>
    <row r="115" spans="2:8" hidden="1" x14ac:dyDescent="0.2">
      <c r="B115" s="51"/>
      <c r="C115" s="14"/>
      <c r="D115" s="22"/>
      <c r="E115" s="22"/>
      <c r="F115" s="16"/>
      <c r="G115" s="25"/>
      <c r="H115" s="150"/>
    </row>
    <row r="116" spans="2:8" ht="27" hidden="1" x14ac:dyDescent="0.2">
      <c r="B116" s="51" t="s">
        <v>34</v>
      </c>
      <c r="C116" s="14" t="s">
        <v>604</v>
      </c>
      <c r="D116" s="22" t="s">
        <v>7</v>
      </c>
      <c r="E116" s="22">
        <v>0</v>
      </c>
      <c r="F116" s="16"/>
      <c r="G116" s="25">
        <f t="shared" ref="G116:G120" si="4">IF(D116="","",E116*F116)</f>
        <v>0</v>
      </c>
      <c r="H116" s="150"/>
    </row>
    <row r="117" spans="2:8" hidden="1" x14ac:dyDescent="0.2">
      <c r="B117" s="51"/>
      <c r="C117" s="14"/>
      <c r="D117" s="22"/>
      <c r="E117" s="22"/>
      <c r="F117" s="16"/>
      <c r="G117" s="25" t="str">
        <f t="shared" si="4"/>
        <v/>
      </c>
      <c r="H117" s="150"/>
    </row>
    <row r="118" spans="2:8" ht="27" hidden="1" x14ac:dyDescent="0.2">
      <c r="B118" s="51" t="s">
        <v>35</v>
      </c>
      <c r="C118" s="14" t="s">
        <v>605</v>
      </c>
      <c r="D118" s="22" t="s">
        <v>7</v>
      </c>
      <c r="E118" s="22">
        <v>0</v>
      </c>
      <c r="F118" s="16"/>
      <c r="G118" s="25">
        <f t="shared" si="4"/>
        <v>0</v>
      </c>
      <c r="H118" s="150"/>
    </row>
    <row r="119" spans="2:8" hidden="1" x14ac:dyDescent="0.2">
      <c r="B119" s="51"/>
      <c r="C119" s="14"/>
      <c r="D119" s="22"/>
      <c r="E119" s="22"/>
      <c r="F119" s="16"/>
      <c r="G119" s="25" t="str">
        <f t="shared" si="4"/>
        <v/>
      </c>
      <c r="H119" s="150"/>
    </row>
    <row r="120" spans="2:8" ht="27" hidden="1" x14ac:dyDescent="0.2">
      <c r="B120" s="51" t="s">
        <v>40</v>
      </c>
      <c r="C120" s="14" t="s">
        <v>606</v>
      </c>
      <c r="D120" s="22" t="s">
        <v>7</v>
      </c>
      <c r="E120" s="22">
        <v>0</v>
      </c>
      <c r="F120" s="16"/>
      <c r="G120" s="25">
        <f t="shared" si="4"/>
        <v>0</v>
      </c>
      <c r="H120" s="42"/>
    </row>
    <row r="121" spans="2:8" hidden="1" x14ac:dyDescent="0.2">
      <c r="B121" s="51"/>
      <c r="C121" s="14"/>
      <c r="D121" s="22"/>
      <c r="E121" s="22"/>
      <c r="F121" s="16"/>
      <c r="G121" s="25"/>
      <c r="H121" s="42"/>
    </row>
    <row r="122" spans="2:8" ht="14.25" hidden="1" x14ac:dyDescent="0.2">
      <c r="B122" s="51" t="s">
        <v>37</v>
      </c>
      <c r="C122" s="14" t="s">
        <v>607</v>
      </c>
      <c r="D122" s="22" t="s">
        <v>7</v>
      </c>
      <c r="E122" s="22">
        <v>0</v>
      </c>
      <c r="F122" s="16"/>
      <c r="G122" s="25">
        <f>IF(D122="","",E122*F122)</f>
        <v>0</v>
      </c>
      <c r="H122" s="42"/>
    </row>
    <row r="123" spans="2:8" x14ac:dyDescent="0.2">
      <c r="B123" s="51"/>
      <c r="C123" s="14"/>
      <c r="D123" s="22"/>
      <c r="E123" s="22"/>
      <c r="F123" s="16"/>
      <c r="G123" s="25" t="str">
        <f t="shared" ref="G123:G134" si="5">IF(D123="","",E123*F123)</f>
        <v/>
      </c>
      <c r="H123" s="42"/>
    </row>
    <row r="124" spans="2:8" x14ac:dyDescent="0.2">
      <c r="B124" s="51" t="s">
        <v>980</v>
      </c>
      <c r="C124" s="14" t="s">
        <v>981</v>
      </c>
      <c r="D124" s="22"/>
      <c r="E124" s="22"/>
      <c r="F124" s="16"/>
      <c r="G124" s="25" t="str">
        <f t="shared" si="5"/>
        <v/>
      </c>
      <c r="H124" s="42"/>
    </row>
    <row r="125" spans="2:8" ht="9.6" customHeight="1" x14ac:dyDescent="0.2">
      <c r="B125" s="51"/>
      <c r="C125" s="14"/>
      <c r="D125" s="22"/>
      <c r="E125" s="22"/>
      <c r="F125" s="16"/>
      <c r="G125" s="25" t="str">
        <f t="shared" si="5"/>
        <v/>
      </c>
      <c r="H125" s="42"/>
    </row>
    <row r="126" spans="2:8" ht="25.5" x14ac:dyDescent="0.2">
      <c r="B126" s="51" t="s">
        <v>982</v>
      </c>
      <c r="C126" s="14" t="s">
        <v>983</v>
      </c>
      <c r="D126" s="22" t="s">
        <v>6</v>
      </c>
      <c r="E126" s="22">
        <v>115</v>
      </c>
      <c r="F126" s="16"/>
      <c r="G126" s="25">
        <f t="shared" si="5"/>
        <v>0</v>
      </c>
      <c r="H126" s="42"/>
    </row>
    <row r="127" spans="2:8" ht="11.1" customHeight="1" x14ac:dyDescent="0.2">
      <c r="B127" s="51"/>
      <c r="C127" s="14"/>
      <c r="D127" s="22"/>
      <c r="E127" s="22"/>
      <c r="F127" s="16"/>
      <c r="G127" s="25" t="str">
        <f t="shared" si="5"/>
        <v/>
      </c>
      <c r="H127" s="42"/>
    </row>
    <row r="128" spans="2:8" x14ac:dyDescent="0.2">
      <c r="B128" s="51" t="s">
        <v>984</v>
      </c>
      <c r="C128" s="14" t="s">
        <v>985</v>
      </c>
      <c r="D128" s="22" t="s">
        <v>133</v>
      </c>
      <c r="E128" s="22">
        <v>20</v>
      </c>
      <c r="F128" s="16"/>
      <c r="G128" s="25">
        <f t="shared" si="5"/>
        <v>0</v>
      </c>
      <c r="H128" s="42"/>
    </row>
    <row r="129" spans="1:8" ht="9.6" customHeight="1" x14ac:dyDescent="0.2">
      <c r="B129" s="51"/>
      <c r="C129" s="14"/>
      <c r="D129" s="22"/>
      <c r="E129" s="22"/>
      <c r="F129" s="16"/>
      <c r="G129" s="25" t="str">
        <f t="shared" si="5"/>
        <v/>
      </c>
      <c r="H129" s="42"/>
    </row>
    <row r="130" spans="1:8" x14ac:dyDescent="0.2">
      <c r="B130" s="51" t="s">
        <v>986</v>
      </c>
      <c r="C130" s="14" t="s">
        <v>987</v>
      </c>
      <c r="D130" s="22"/>
      <c r="E130" s="22"/>
      <c r="F130" s="16"/>
      <c r="G130" s="25" t="str">
        <f t="shared" si="5"/>
        <v/>
      </c>
      <c r="H130" s="42"/>
    </row>
    <row r="131" spans="1:8" ht="11.45" customHeight="1" x14ac:dyDescent="0.2">
      <c r="B131" s="51"/>
      <c r="C131" s="14"/>
      <c r="D131" s="22"/>
      <c r="E131" s="22"/>
      <c r="F131" s="16"/>
      <c r="G131" s="25" t="str">
        <f t="shared" si="5"/>
        <v/>
      </c>
      <c r="H131" s="42"/>
    </row>
    <row r="132" spans="1:8" ht="25.5" x14ac:dyDescent="0.2">
      <c r="B132" s="51"/>
      <c r="C132" s="14" t="s">
        <v>988</v>
      </c>
      <c r="D132" s="22" t="s">
        <v>930</v>
      </c>
      <c r="E132" s="22">
        <v>6.5</v>
      </c>
      <c r="F132" s="16"/>
      <c r="G132" s="25">
        <f t="shared" si="5"/>
        <v>0</v>
      </c>
      <c r="H132" s="42"/>
    </row>
    <row r="133" spans="1:8" x14ac:dyDescent="0.2">
      <c r="B133" s="51"/>
      <c r="C133" s="14"/>
      <c r="D133" s="22"/>
      <c r="E133" s="22"/>
      <c r="F133" s="16"/>
      <c r="G133" s="25" t="str">
        <f t="shared" si="5"/>
        <v/>
      </c>
      <c r="H133" s="42"/>
    </row>
    <row r="134" spans="1:8" x14ac:dyDescent="0.2">
      <c r="B134" s="51"/>
      <c r="C134" s="14" t="s">
        <v>989</v>
      </c>
      <c r="D134" s="22" t="s">
        <v>930</v>
      </c>
      <c r="E134" s="22">
        <v>3</v>
      </c>
      <c r="F134" s="16"/>
      <c r="G134" s="25">
        <f t="shared" si="5"/>
        <v>0</v>
      </c>
      <c r="H134" s="42"/>
    </row>
    <row r="135" spans="1:8" x14ac:dyDescent="0.2">
      <c r="B135" s="51"/>
      <c r="C135" s="14"/>
      <c r="D135" s="22"/>
      <c r="E135" s="22"/>
      <c r="F135" s="41"/>
      <c r="G135" s="25" t="str">
        <f t="shared" ref="G135" si="6">IF(D135="","",E135*F135)</f>
        <v/>
      </c>
      <c r="H135" s="42"/>
    </row>
    <row r="136" spans="1:8" x14ac:dyDescent="0.2">
      <c r="A136" s="30"/>
      <c r="B136" s="74" t="str">
        <f>B65</f>
        <v>C8.8</v>
      </c>
      <c r="C136" s="32" t="str">
        <f>"TOTAL CARRIED FORWARD"&amp;IF(G136=G$1," TO SUMMARY (Page C"&amp;Page_A&amp;")","")</f>
        <v>TOTAL CARRIED FORWARD TO SUMMARY (Page C49)</v>
      </c>
      <c r="D136" s="33"/>
      <c r="E136" s="34"/>
      <c r="F136" s="33"/>
      <c r="G136" s="352">
        <f>SUM(G74:G135)</f>
        <v>0</v>
      </c>
      <c r="H136" s="36"/>
    </row>
  </sheetData>
  <mergeCells count="11">
    <mergeCell ref="B69:F69"/>
    <mergeCell ref="G69:G72"/>
    <mergeCell ref="B70:F72"/>
    <mergeCell ref="E2:G2"/>
    <mergeCell ref="B6:F8"/>
    <mergeCell ref="G5:G8"/>
    <mergeCell ref="B5:F5"/>
    <mergeCell ref="B66:D66"/>
    <mergeCell ref="E66:G68"/>
    <mergeCell ref="B67:D67"/>
    <mergeCell ref="B68:D6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8" id="{BD1A7BCD-63CF-466C-B887-84CDB4ED2125}">
            <xm:f>AND(Information!$C$8=FALSE,$D11&lt;&gt;"P C Sum",$D11&lt;&gt;"PC Sum",$D11&lt;&gt;"P Sum",$D11&lt;&gt;"Prov Sum")</xm:f>
            <x14:dxf>
              <font>
                <strike val="0"/>
                <color theme="0"/>
              </font>
              <numFmt numFmtId="4" formatCode="#,##0.00"/>
            </x14:dxf>
          </x14:cfRule>
          <xm:sqref>F11:G64 F76:G134</xm:sqref>
        </x14:conditionalFormatting>
        <x14:conditionalFormatting xmlns:xm="http://schemas.microsoft.com/office/excel/2006/main">
          <x14:cfRule type="expression" priority="7" id="{4FEFD445-18DB-41BA-85C2-07F0E6AA82E3}">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5" id="{88C083E0-0A10-4000-A072-C4B720576BD0}">
            <xm:f>AND(Information!$C$8=FALSE,$D135&lt;&gt;"P C Sum",$D135&lt;&gt;"PC Sum",$D135&lt;&gt;"P Sum",$D135&lt;&gt;"Prov Sum")</xm:f>
            <x14:dxf>
              <font>
                <strike val="0"/>
                <color theme="0"/>
              </font>
              <numFmt numFmtId="4" formatCode="#,##0.00"/>
            </x14:dxf>
          </x14:cfRule>
          <xm:sqref>G135</xm:sqref>
        </x14:conditionalFormatting>
        <x14:conditionalFormatting xmlns:xm="http://schemas.microsoft.com/office/excel/2006/main">
          <x14:cfRule type="expression" priority="4" id="{1D43BB1B-5005-4491-9399-50BB6960FCED}">
            <xm:f>AND(Information!$C$8=FALSE,$D74&lt;&gt;"P C Sum",$D74&lt;&gt;"PC Sum",$D74&lt;&gt;"P Sum",$D74&lt;&gt;"Prov Sum")</xm:f>
            <x14:dxf>
              <font>
                <strike val="0"/>
                <color theme="0"/>
              </font>
              <numFmt numFmtId="4" formatCode="#,##0.00"/>
            </x14:dxf>
          </x14:cfRule>
          <xm:sqref>G74</xm:sqref>
        </x14:conditionalFormatting>
        <x14:conditionalFormatting xmlns:xm="http://schemas.microsoft.com/office/excel/2006/main">
          <x14:cfRule type="expression" priority="3" id="{3B0E8337-CB67-476F-8CF4-EE92A5334650}">
            <xm:f>AND(Information!$C$8=FALSE,$D136&lt;&gt;"P C Sum",$D136&lt;&gt;"PC Sum",$D136&lt;&gt;"P Sum",$D136&lt;&gt;"Prov Sum")</xm:f>
            <x14:dxf>
              <font>
                <strike val="0"/>
                <color theme="0"/>
              </font>
              <numFmt numFmtId="4" formatCode="#,##0.00"/>
            </x14:dxf>
          </x14:cfRule>
          <xm:sqref>G136</xm:sqref>
        </x14:conditionalFormatting>
        <x14:conditionalFormatting xmlns:xm="http://schemas.microsoft.com/office/excel/2006/main">
          <x14:cfRule type="expression" priority="2" id="{0B540DC3-DCB8-4C5C-9E24-CB262A421A3A}">
            <xm:f>AND(Information!$C$8=FALSE,$D75&lt;&gt;"P C Sum",$D75&lt;&gt;"PC Sum",$D75&lt;&gt;"P Sum",$D75&lt;&gt;"Prov Sum")</xm:f>
            <x14:dxf>
              <font>
                <strike val="0"/>
                <color theme="0"/>
              </font>
              <numFmt numFmtId="4" formatCode="#,##0.00"/>
            </x14:dxf>
          </x14:cfRule>
          <xm:sqref>G75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1FE1-5733-4717-AD08-99B30AE1B2AF}">
  <sheetPr>
    <tabColor rgb="FF00B050"/>
  </sheetPr>
  <dimension ref="B1:H65"/>
  <sheetViews>
    <sheetView view="pageBreakPreview" topLeftCell="A34" zoomScaleNormal="125" zoomScaleSheetLayoutView="100" zoomScalePageLayoutView="125" workbookViewId="0">
      <selection activeCell="F15" sqref="F15:F54"/>
    </sheetView>
  </sheetViews>
  <sheetFormatPr defaultColWidth="6.85546875" defaultRowHeight="12.75" x14ac:dyDescent="0.2"/>
  <cols>
    <col min="1" max="1" width="0.85546875" style="1" customWidth="1"/>
    <col min="2" max="2" width="11.7109375" style="37"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x14ac:dyDescent="0.2">
      <c r="G1" s="487">
        <f>MAX(G5:G65)</f>
        <v>0</v>
      </c>
    </row>
    <row r="2" spans="2:8" x14ac:dyDescent="0.2">
      <c r="B2" s="2" t="str">
        <f>Client1</f>
        <v>Province of KwaZulu-Natal</v>
      </c>
      <c r="E2" s="703" t="str">
        <f>"Contract No. "&amp;ContractNo</f>
        <v>Contract No. ZNB02287/00000/00/MET/INF/24/T</v>
      </c>
      <c r="F2" s="703"/>
      <c r="G2" s="703"/>
    </row>
    <row r="3" spans="2:8" x14ac:dyDescent="0.2">
      <c r="B3" s="81" t="str">
        <f>Client2</f>
        <v>Department of Transport</v>
      </c>
    </row>
    <row r="4" spans="2:8" x14ac:dyDescent="0.2">
      <c r="B4" s="71"/>
      <c r="C4" s="71"/>
      <c r="D4" s="72"/>
      <c r="E4" s="72"/>
      <c r="F4" s="73"/>
      <c r="G4" s="82"/>
    </row>
    <row r="5" spans="2:8" x14ac:dyDescent="0.2">
      <c r="B5" s="698" t="s">
        <v>8</v>
      </c>
      <c r="C5" s="699"/>
      <c r="D5" s="699"/>
      <c r="E5" s="699"/>
      <c r="F5" s="699"/>
      <c r="G5" s="700" t="str">
        <f>"CHAPTER "&amp;B11</f>
        <v>CHAPTER C9.1</v>
      </c>
      <c r="H5" s="6"/>
    </row>
    <row r="6" spans="2:8"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701"/>
      <c r="H6" s="8"/>
    </row>
    <row r="7" spans="2:8" ht="12.75" customHeight="1" x14ac:dyDescent="0.2">
      <c r="B7" s="691"/>
      <c r="C7" s="692"/>
      <c r="D7" s="692"/>
      <c r="E7" s="692"/>
      <c r="F7" s="692"/>
      <c r="G7" s="701"/>
      <c r="H7" s="8"/>
    </row>
    <row r="8" spans="2:8" ht="7.5" customHeight="1" x14ac:dyDescent="0.2">
      <c r="B8" s="693"/>
      <c r="C8" s="694"/>
      <c r="D8" s="694"/>
      <c r="E8" s="694"/>
      <c r="F8" s="694"/>
      <c r="G8" s="702"/>
      <c r="H8" s="8"/>
    </row>
    <row r="9" spans="2:8" s="9" customFormat="1" ht="24.95" customHeight="1" x14ac:dyDescent="0.2">
      <c r="B9" s="10" t="s">
        <v>0</v>
      </c>
      <c r="C9" s="11" t="s">
        <v>1</v>
      </c>
      <c r="D9" s="11" t="s">
        <v>2</v>
      </c>
      <c r="E9" s="11" t="s">
        <v>3</v>
      </c>
      <c r="F9" s="11" t="s">
        <v>4</v>
      </c>
      <c r="G9" s="11" t="s">
        <v>5</v>
      </c>
      <c r="H9" s="12"/>
    </row>
    <row r="10" spans="2:8" x14ac:dyDescent="0.2">
      <c r="B10" s="13"/>
      <c r="C10" s="14"/>
      <c r="D10" s="15"/>
      <c r="E10" s="15"/>
      <c r="F10" s="16"/>
      <c r="G10" s="17" t="str">
        <f>IF(D10="","",E10*F10)</f>
        <v/>
      </c>
      <c r="H10" s="18"/>
    </row>
    <row r="11" spans="2:8" x14ac:dyDescent="0.2">
      <c r="B11" s="67" t="s">
        <v>674</v>
      </c>
      <c r="C11" s="20" t="s">
        <v>675</v>
      </c>
      <c r="D11" s="22"/>
      <c r="E11" s="22"/>
      <c r="F11" s="41"/>
      <c r="G11" s="25" t="str">
        <f>IF(D11="","",E11*F11)</f>
        <v/>
      </c>
      <c r="H11" s="42"/>
    </row>
    <row r="12" spans="2:8" x14ac:dyDescent="0.2">
      <c r="B12" s="51"/>
      <c r="C12" s="14"/>
      <c r="D12" s="22"/>
      <c r="E12" s="22"/>
      <c r="F12" s="41"/>
      <c r="G12" s="25" t="str">
        <f>IF(D12="","",E12*F12)</f>
        <v/>
      </c>
      <c r="H12" s="42"/>
    </row>
    <row r="13" spans="2:8" x14ac:dyDescent="0.2">
      <c r="B13" s="67" t="s">
        <v>676</v>
      </c>
      <c r="C13" s="20" t="s">
        <v>677</v>
      </c>
      <c r="D13" s="22"/>
      <c r="E13" s="22"/>
      <c r="F13" s="41"/>
      <c r="G13" s="25" t="str">
        <f>IF(D13="","",E13*F13)</f>
        <v/>
      </c>
      <c r="H13" s="42"/>
    </row>
    <row r="14" spans="2:8" x14ac:dyDescent="0.2">
      <c r="B14" s="51"/>
      <c r="C14" s="14"/>
      <c r="D14" s="22"/>
      <c r="E14" s="22"/>
      <c r="F14" s="41"/>
      <c r="G14" s="25" t="str">
        <f t="shared" ref="G14:G50" si="0">IF(D14="","",E14*F14)</f>
        <v/>
      </c>
      <c r="H14" s="42"/>
    </row>
    <row r="15" spans="2:8" x14ac:dyDescent="0.2">
      <c r="B15" s="51" t="s">
        <v>1099</v>
      </c>
      <c r="C15" s="14" t="s">
        <v>1100</v>
      </c>
      <c r="D15" s="22"/>
      <c r="E15" s="23"/>
      <c r="F15" s="16"/>
      <c r="G15" s="25" t="str">
        <f t="shared" si="0"/>
        <v/>
      </c>
      <c r="H15" s="42"/>
    </row>
    <row r="16" spans="2:8" ht="25.5" x14ac:dyDescent="0.2">
      <c r="B16" s="51"/>
      <c r="C16" s="14" t="s">
        <v>1101</v>
      </c>
      <c r="D16" s="22" t="s">
        <v>1102</v>
      </c>
      <c r="E16" s="23">
        <v>2</v>
      </c>
      <c r="F16" s="16"/>
      <c r="G16" s="25">
        <f t="shared" si="0"/>
        <v>0</v>
      </c>
      <c r="H16" s="42"/>
    </row>
    <row r="17" spans="2:8" x14ac:dyDescent="0.2">
      <c r="B17" s="51"/>
      <c r="C17" s="14"/>
      <c r="D17" s="22"/>
      <c r="E17" s="22"/>
      <c r="F17" s="16"/>
      <c r="G17" s="25" t="str">
        <f t="shared" si="0"/>
        <v/>
      </c>
      <c r="H17" s="42"/>
    </row>
    <row r="18" spans="2:8" x14ac:dyDescent="0.2">
      <c r="B18" s="51" t="s">
        <v>678</v>
      </c>
      <c r="C18" s="14" t="s">
        <v>679</v>
      </c>
      <c r="D18" s="22"/>
      <c r="E18" s="22"/>
      <c r="F18" s="16"/>
      <c r="G18" s="25" t="str">
        <f t="shared" si="0"/>
        <v/>
      </c>
      <c r="H18" s="42"/>
    </row>
    <row r="19" spans="2:8" x14ac:dyDescent="0.2">
      <c r="B19" s="51"/>
      <c r="C19" s="14"/>
      <c r="D19" s="22"/>
      <c r="E19" s="22"/>
      <c r="F19" s="16"/>
      <c r="G19" s="25" t="str">
        <f t="shared" si="0"/>
        <v/>
      </c>
      <c r="H19" s="42"/>
    </row>
    <row r="20" spans="2:8" x14ac:dyDescent="0.2">
      <c r="B20" s="51"/>
      <c r="C20" s="14"/>
      <c r="D20" s="22"/>
      <c r="E20" s="22"/>
      <c r="F20" s="41"/>
      <c r="G20" s="25" t="str">
        <f t="shared" si="0"/>
        <v/>
      </c>
      <c r="H20" s="42"/>
    </row>
    <row r="21" spans="2:8" ht="25.5" x14ac:dyDescent="0.2">
      <c r="B21" s="524" t="s">
        <v>1103</v>
      </c>
      <c r="C21" s="53" t="s">
        <v>1104</v>
      </c>
      <c r="D21" s="222" t="s">
        <v>133</v>
      </c>
      <c r="E21" s="222">
        <v>2000</v>
      </c>
      <c r="F21" s="80"/>
      <c r="G21" s="25">
        <f t="shared" si="0"/>
        <v>0</v>
      </c>
      <c r="H21" s="42"/>
    </row>
    <row r="22" spans="2:8" x14ac:dyDescent="0.2">
      <c r="B22" s="524"/>
      <c r="C22" s="53"/>
      <c r="D22" s="222"/>
      <c r="E22" s="222"/>
      <c r="F22" s="80"/>
      <c r="G22" s="25" t="str">
        <f t="shared" si="0"/>
        <v/>
      </c>
      <c r="H22" s="42"/>
    </row>
    <row r="23" spans="2:8" ht="25.5" x14ac:dyDescent="0.2">
      <c r="B23" s="524" t="s">
        <v>680</v>
      </c>
      <c r="C23" s="53" t="s">
        <v>1052</v>
      </c>
      <c r="D23" s="222" t="s">
        <v>133</v>
      </c>
      <c r="E23" s="222">
        <v>250</v>
      </c>
      <c r="F23" s="80"/>
      <c r="G23" s="25">
        <f t="shared" si="0"/>
        <v>0</v>
      </c>
      <c r="H23" s="42"/>
    </row>
    <row r="24" spans="2:8" x14ac:dyDescent="0.2">
      <c r="B24" s="524"/>
      <c r="C24" s="53"/>
      <c r="D24" s="222"/>
      <c r="E24" s="222"/>
      <c r="F24" s="80"/>
      <c r="G24" s="25" t="str">
        <f t="shared" si="0"/>
        <v/>
      </c>
      <c r="H24" s="42"/>
    </row>
    <row r="25" spans="2:8" ht="25.5" x14ac:dyDescent="0.2">
      <c r="B25" s="524" t="s">
        <v>681</v>
      </c>
      <c r="C25" s="53" t="s">
        <v>682</v>
      </c>
      <c r="D25" s="222" t="s">
        <v>133</v>
      </c>
      <c r="E25" s="222">
        <v>250</v>
      </c>
      <c r="F25" s="80"/>
      <c r="G25" s="25">
        <f t="shared" si="0"/>
        <v>0</v>
      </c>
      <c r="H25" s="42"/>
    </row>
    <row r="26" spans="2:8" x14ac:dyDescent="0.2">
      <c r="B26" s="524"/>
      <c r="C26" s="53"/>
      <c r="D26" s="222"/>
      <c r="E26" s="222"/>
      <c r="F26" s="80"/>
      <c r="G26" s="25" t="str">
        <f t="shared" si="0"/>
        <v/>
      </c>
      <c r="H26" s="42"/>
    </row>
    <row r="27" spans="2:8" x14ac:dyDescent="0.2">
      <c r="B27" s="524" t="s">
        <v>1105</v>
      </c>
      <c r="C27" s="53" t="s">
        <v>1106</v>
      </c>
      <c r="D27" s="222"/>
      <c r="E27" s="222"/>
      <c r="F27" s="80"/>
      <c r="G27" s="25" t="str">
        <f t="shared" si="0"/>
        <v/>
      </c>
      <c r="H27" s="42"/>
    </row>
    <row r="28" spans="2:8" x14ac:dyDescent="0.2">
      <c r="B28" s="524"/>
      <c r="C28" s="53"/>
      <c r="D28" s="222"/>
      <c r="E28" s="222"/>
      <c r="F28" s="80"/>
      <c r="G28" s="25" t="str">
        <f t="shared" si="0"/>
        <v/>
      </c>
      <c r="H28" s="42"/>
    </row>
    <row r="29" spans="2:8" x14ac:dyDescent="0.2">
      <c r="B29" s="524" t="s">
        <v>1107</v>
      </c>
      <c r="C29" s="53" t="s">
        <v>1108</v>
      </c>
      <c r="D29" s="222"/>
      <c r="E29" s="222"/>
      <c r="F29" s="80"/>
      <c r="G29" s="25" t="str">
        <f t="shared" si="0"/>
        <v/>
      </c>
      <c r="H29" s="42"/>
    </row>
    <row r="30" spans="2:8" x14ac:dyDescent="0.2">
      <c r="B30" s="524"/>
      <c r="C30" s="53"/>
      <c r="D30" s="222"/>
      <c r="E30" s="222"/>
      <c r="F30" s="80"/>
      <c r="G30" s="25" t="str">
        <f t="shared" si="0"/>
        <v/>
      </c>
      <c r="H30" s="42"/>
    </row>
    <row r="31" spans="2:8" ht="38.25" x14ac:dyDescent="0.2">
      <c r="B31" s="524"/>
      <c r="C31" s="53" t="s">
        <v>1109</v>
      </c>
      <c r="D31" s="222" t="s">
        <v>7</v>
      </c>
      <c r="E31" s="222">
        <v>250</v>
      </c>
      <c r="F31" s="80"/>
      <c r="G31" s="25">
        <f t="shared" si="0"/>
        <v>0</v>
      </c>
      <c r="H31" s="42"/>
    </row>
    <row r="32" spans="2:8" x14ac:dyDescent="0.2">
      <c r="B32" s="524"/>
      <c r="C32" s="53"/>
      <c r="D32" s="222"/>
      <c r="E32" s="222"/>
      <c r="F32" s="80"/>
      <c r="G32" s="25" t="str">
        <f t="shared" si="0"/>
        <v/>
      </c>
      <c r="H32" s="42"/>
    </row>
    <row r="33" spans="2:8" x14ac:dyDescent="0.2">
      <c r="B33" s="524" t="s">
        <v>1110</v>
      </c>
      <c r="C33" s="53" t="s">
        <v>1111</v>
      </c>
      <c r="D33" s="222"/>
      <c r="E33" s="222"/>
      <c r="F33" s="80"/>
      <c r="G33" s="25" t="str">
        <f t="shared" si="0"/>
        <v/>
      </c>
      <c r="H33" s="42"/>
    </row>
    <row r="34" spans="2:8" x14ac:dyDescent="0.2">
      <c r="B34" s="524"/>
      <c r="C34" s="53"/>
      <c r="D34" s="222"/>
      <c r="E34" s="222"/>
      <c r="F34" s="80"/>
      <c r="G34" s="25" t="str">
        <f t="shared" si="0"/>
        <v/>
      </c>
      <c r="H34" s="42"/>
    </row>
    <row r="35" spans="2:8" x14ac:dyDescent="0.2">
      <c r="B35" s="524" t="s">
        <v>1112</v>
      </c>
      <c r="C35" s="53" t="s">
        <v>1108</v>
      </c>
      <c r="D35" s="222"/>
      <c r="E35" s="222"/>
      <c r="F35" s="80"/>
      <c r="G35" s="25" t="str">
        <f t="shared" si="0"/>
        <v/>
      </c>
      <c r="H35" s="42"/>
    </row>
    <row r="36" spans="2:8" x14ac:dyDescent="0.2">
      <c r="B36" s="524"/>
      <c r="C36" s="53"/>
      <c r="D36" s="222"/>
      <c r="E36" s="222"/>
      <c r="F36" s="80"/>
      <c r="G36" s="25" t="str">
        <f t="shared" si="0"/>
        <v/>
      </c>
      <c r="H36" s="42"/>
    </row>
    <row r="37" spans="2:8" ht="38.25" x14ac:dyDescent="0.2">
      <c r="B37" s="524"/>
      <c r="C37" s="53" t="s">
        <v>1113</v>
      </c>
      <c r="D37" s="222" t="s">
        <v>7</v>
      </c>
      <c r="E37" s="222">
        <v>80</v>
      </c>
      <c r="F37" s="80"/>
      <c r="G37" s="25">
        <f t="shared" si="0"/>
        <v>0</v>
      </c>
      <c r="H37" s="42"/>
    </row>
    <row r="38" spans="2:8" x14ac:dyDescent="0.2">
      <c r="B38" s="524"/>
      <c r="C38" s="53"/>
      <c r="D38" s="222"/>
      <c r="E38" s="222"/>
      <c r="F38" s="80"/>
      <c r="G38" s="25" t="str">
        <f t="shared" si="0"/>
        <v/>
      </c>
      <c r="H38" s="42"/>
    </row>
    <row r="39" spans="2:8" ht="51" x14ac:dyDescent="0.2">
      <c r="B39" s="524" t="s">
        <v>1114</v>
      </c>
      <c r="C39" s="53" t="s">
        <v>1115</v>
      </c>
      <c r="D39" s="222" t="s">
        <v>7</v>
      </c>
      <c r="E39" s="222">
        <v>30</v>
      </c>
      <c r="F39" s="80"/>
      <c r="G39" s="25">
        <f t="shared" si="0"/>
        <v>0</v>
      </c>
      <c r="H39" s="42"/>
    </row>
    <row r="40" spans="2:8" x14ac:dyDescent="0.2">
      <c r="B40" s="524"/>
      <c r="C40" s="53"/>
      <c r="D40" s="222"/>
      <c r="E40" s="222"/>
      <c r="F40" s="80"/>
      <c r="G40" s="25" t="str">
        <f t="shared" si="0"/>
        <v/>
      </c>
      <c r="H40" s="42"/>
    </row>
    <row r="41" spans="2:8" ht="25.5" x14ac:dyDescent="0.2">
      <c r="B41" s="524" t="s">
        <v>1116</v>
      </c>
      <c r="C41" s="53" t="s">
        <v>1117</v>
      </c>
      <c r="D41" s="222"/>
      <c r="E41" s="222"/>
      <c r="F41" s="80"/>
      <c r="G41" s="25" t="str">
        <f t="shared" si="0"/>
        <v/>
      </c>
      <c r="H41" s="42"/>
    </row>
    <row r="42" spans="2:8" x14ac:dyDescent="0.2">
      <c r="B42" s="524"/>
      <c r="C42" s="53"/>
      <c r="D42" s="222"/>
      <c r="E42" s="222"/>
      <c r="F42" s="80"/>
      <c r="G42" s="25" t="str">
        <f t="shared" si="0"/>
        <v/>
      </c>
      <c r="H42" s="42"/>
    </row>
    <row r="43" spans="2:8" x14ac:dyDescent="0.2">
      <c r="B43" s="524" t="s">
        <v>1118</v>
      </c>
      <c r="C43" s="53" t="s">
        <v>1119</v>
      </c>
      <c r="D43" s="222" t="s">
        <v>549</v>
      </c>
      <c r="E43" s="222">
        <v>2</v>
      </c>
      <c r="F43" s="80"/>
      <c r="G43" s="25">
        <f t="shared" si="0"/>
        <v>0</v>
      </c>
      <c r="H43" s="42"/>
    </row>
    <row r="44" spans="2:8" x14ac:dyDescent="0.2">
      <c r="B44" s="524"/>
      <c r="C44" s="53"/>
      <c r="D44" s="222"/>
      <c r="E44" s="222"/>
      <c r="F44" s="80"/>
      <c r="G44" s="25" t="str">
        <f t="shared" si="0"/>
        <v/>
      </c>
      <c r="H44" s="42"/>
    </row>
    <row r="45" spans="2:8" ht="25.5" x14ac:dyDescent="0.2">
      <c r="B45" s="524" t="s">
        <v>1120</v>
      </c>
      <c r="C45" s="53" t="s">
        <v>1121</v>
      </c>
      <c r="D45" s="222" t="s">
        <v>181</v>
      </c>
      <c r="E45" s="222">
        <v>120</v>
      </c>
      <c r="F45" s="80"/>
      <c r="G45" s="25">
        <f t="shared" si="0"/>
        <v>0</v>
      </c>
      <c r="H45" s="42"/>
    </row>
    <row r="46" spans="2:8" x14ac:dyDescent="0.2">
      <c r="B46" s="524"/>
      <c r="C46" s="53"/>
      <c r="D46" s="222"/>
      <c r="E46" s="222"/>
      <c r="F46" s="80"/>
      <c r="G46" s="25" t="str">
        <f t="shared" si="0"/>
        <v/>
      </c>
      <c r="H46" s="42"/>
    </row>
    <row r="47" spans="2:8" x14ac:dyDescent="0.2">
      <c r="B47" s="524" t="s">
        <v>1122</v>
      </c>
      <c r="C47" s="53" t="s">
        <v>1123</v>
      </c>
      <c r="D47" s="222" t="s">
        <v>256</v>
      </c>
      <c r="E47" s="222">
        <v>2480</v>
      </c>
      <c r="F47" s="80"/>
      <c r="G47" s="25">
        <f t="shared" si="0"/>
        <v>0</v>
      </c>
      <c r="H47" s="42"/>
    </row>
    <row r="48" spans="2:8" x14ac:dyDescent="0.2">
      <c r="B48" s="524"/>
      <c r="C48" s="53"/>
      <c r="D48" s="222"/>
      <c r="E48" s="222"/>
      <c r="F48" s="80"/>
      <c r="G48" s="25" t="str">
        <f t="shared" si="0"/>
        <v/>
      </c>
      <c r="H48" s="42"/>
    </row>
    <row r="49" spans="2:8" x14ac:dyDescent="0.2">
      <c r="B49" s="524"/>
      <c r="C49" s="53"/>
      <c r="D49" s="222"/>
      <c r="E49" s="222"/>
      <c r="F49" s="80"/>
      <c r="G49" s="25" t="str">
        <f t="shared" si="0"/>
        <v/>
      </c>
      <c r="H49" s="42"/>
    </row>
    <row r="50" spans="2:8" x14ac:dyDescent="0.2">
      <c r="B50" s="524"/>
      <c r="C50" s="53"/>
      <c r="D50" s="222"/>
      <c r="E50" s="222"/>
      <c r="F50" s="80"/>
      <c r="G50" s="25" t="str">
        <f t="shared" si="0"/>
        <v/>
      </c>
      <c r="H50" s="42"/>
    </row>
    <row r="51" spans="2:8" x14ac:dyDescent="0.2">
      <c r="B51" s="524"/>
      <c r="C51" s="53"/>
      <c r="D51" s="222"/>
      <c r="E51" s="222"/>
      <c r="F51" s="80"/>
      <c r="G51" s="25"/>
      <c r="H51" s="42"/>
    </row>
    <row r="52" spans="2:8" x14ac:dyDescent="0.2">
      <c r="B52" s="524"/>
      <c r="C52" s="53"/>
      <c r="D52" s="222"/>
      <c r="E52" s="222"/>
      <c r="F52" s="80"/>
      <c r="G52" s="25"/>
      <c r="H52" s="42"/>
    </row>
    <row r="53" spans="2:8" x14ac:dyDescent="0.2">
      <c r="B53" s="524"/>
      <c r="C53" s="53"/>
      <c r="D53" s="222"/>
      <c r="E53" s="222"/>
      <c r="F53" s="80"/>
      <c r="G53" s="25"/>
      <c r="H53" s="42"/>
    </row>
    <row r="54" spans="2:8" x14ac:dyDescent="0.2">
      <c r="B54" s="524"/>
      <c r="C54" s="53"/>
      <c r="D54" s="222"/>
      <c r="E54" s="222"/>
      <c r="F54" s="80"/>
      <c r="G54" s="25"/>
      <c r="H54" s="42"/>
    </row>
    <row r="55" spans="2:8" x14ac:dyDescent="0.2">
      <c r="B55" s="524"/>
      <c r="C55" s="53"/>
      <c r="D55" s="222"/>
      <c r="E55" s="222"/>
      <c r="F55" s="80"/>
      <c r="G55" s="25"/>
      <c r="H55" s="42"/>
    </row>
    <row r="56" spans="2:8" x14ac:dyDescent="0.2">
      <c r="B56" s="524"/>
      <c r="C56" s="53"/>
      <c r="D56" s="222"/>
      <c r="E56" s="222"/>
      <c r="F56" s="80"/>
      <c r="G56" s="25"/>
      <c r="H56" s="42"/>
    </row>
    <row r="57" spans="2:8" x14ac:dyDescent="0.2">
      <c r="B57" s="524"/>
      <c r="C57" s="53"/>
      <c r="D57" s="222"/>
      <c r="E57" s="222"/>
      <c r="F57" s="80"/>
      <c r="G57" s="25"/>
      <c r="H57" s="42"/>
    </row>
    <row r="58" spans="2:8" x14ac:dyDescent="0.2">
      <c r="B58" s="524"/>
      <c r="C58" s="53"/>
      <c r="D58" s="222"/>
      <c r="E58" s="222"/>
      <c r="F58" s="80"/>
      <c r="G58" s="25"/>
      <c r="H58" s="42"/>
    </row>
    <row r="59" spans="2:8" x14ac:dyDescent="0.2">
      <c r="B59" s="524"/>
      <c r="C59" s="53"/>
      <c r="D59" s="222"/>
      <c r="E59" s="222"/>
      <c r="F59" s="80"/>
      <c r="G59" s="25"/>
      <c r="H59" s="42"/>
    </row>
    <row r="60" spans="2:8" x14ac:dyDescent="0.2">
      <c r="B60" s="524"/>
      <c r="C60" s="53"/>
      <c r="D60" s="222"/>
      <c r="E60" s="222"/>
      <c r="F60" s="80"/>
      <c r="G60" s="25"/>
      <c r="H60" s="42"/>
    </row>
    <row r="61" spans="2:8" x14ac:dyDescent="0.2">
      <c r="B61" s="524"/>
      <c r="C61" s="53"/>
      <c r="D61" s="222"/>
      <c r="E61" s="222"/>
      <c r="F61" s="80"/>
      <c r="G61" s="25"/>
      <c r="H61" s="42"/>
    </row>
    <row r="62" spans="2:8" x14ac:dyDescent="0.2">
      <c r="B62" s="524"/>
      <c r="C62" s="53"/>
      <c r="D62" s="222"/>
      <c r="E62" s="222"/>
      <c r="F62" s="80"/>
      <c r="G62" s="25"/>
      <c r="H62" s="42"/>
    </row>
    <row r="63" spans="2:8" x14ac:dyDescent="0.2">
      <c r="B63" s="524"/>
      <c r="C63" s="53"/>
      <c r="D63" s="222"/>
      <c r="E63" s="222"/>
      <c r="F63" s="80"/>
      <c r="G63" s="25"/>
      <c r="H63" s="42"/>
    </row>
    <row r="64" spans="2:8" x14ac:dyDescent="0.2">
      <c r="B64" s="524"/>
      <c r="C64" s="53"/>
      <c r="D64" s="222"/>
      <c r="E64" s="222"/>
      <c r="F64" s="80"/>
      <c r="G64" s="25"/>
      <c r="H64" s="42"/>
    </row>
    <row r="65" spans="2:8" s="30" customFormat="1" ht="22.5" customHeight="1" x14ac:dyDescent="0.2">
      <c r="B65" s="31"/>
      <c r="C65" s="32" t="str">
        <f>"TOTAL CARRIED FORWARD"&amp;IF(G65=G$1," TO SUMMARY (Page C"&amp;Page_A&amp;")","")</f>
        <v>TOTAL CARRIED FORWARD TO SUMMARY (Page C49)</v>
      </c>
      <c r="D65" s="33"/>
      <c r="E65" s="34"/>
      <c r="F65" s="33"/>
      <c r="G65" s="352">
        <f>SUM(G10:G63)</f>
        <v>0</v>
      </c>
      <c r="H65" s="36"/>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colBreaks count="1" manualBreakCount="1">
    <brk id="7" min="1" max="96" man="1"/>
  </colBreaks>
  <extLst>
    <ext xmlns:x14="http://schemas.microsoft.com/office/spreadsheetml/2009/9/main" uri="{78C0D931-6437-407d-A8EE-F0AAD7539E65}">
      <x14:conditionalFormattings>
        <x14:conditionalFormatting xmlns:xm="http://schemas.microsoft.com/office/excel/2006/main">
          <x14:cfRule type="expression" priority="4" id="{FFC4123B-8C08-4ED0-A1ED-B5EF46A96F75}">
            <xm:f>AND(Information!$C$8=FALSE,$D19&lt;&gt;"P C Sum",$D19&lt;&gt;"PC Sum",$D19&lt;&gt;"P Sum",$D19&lt;&gt;"Prov Sum")</xm:f>
            <x14:dxf>
              <font>
                <strike val="0"/>
                <color theme="0"/>
              </font>
              <numFmt numFmtId="4" formatCode="#,##0.00"/>
            </x14:dxf>
          </x14:cfRule>
          <xm:sqref>F19 G51:G64</xm:sqref>
        </x14:conditionalFormatting>
        <x14:conditionalFormatting xmlns:xm="http://schemas.microsoft.com/office/excel/2006/main">
          <x14:cfRule type="expression" priority="2" id="{97132580-9CBB-4437-A339-5D271941AC19}">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1" id="{03AAAD37-4469-4936-991B-AB65C1AE0B1C}">
            <xm:f>AND(Information!$C$8=FALSE,$D15&lt;&gt;"P C Sum",$D15&lt;&gt;"PC Sum",$D15&lt;&gt;"P Sum",$D15&lt;&gt;"Prov Sum")</xm:f>
            <x14:dxf>
              <font>
                <strike val="0"/>
                <color theme="0"/>
              </font>
              <numFmt numFmtId="4" formatCode="#,##0.00"/>
            </x14:dxf>
          </x14:cfRule>
          <xm:sqref>F15:G16 F17:F18 G17:G50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0709-BFC3-4104-83C1-A7FD0A9EAF86}">
  <sheetPr>
    <tabColor rgb="FF00B050"/>
    <pageSetUpPr fitToPage="1"/>
  </sheetPr>
  <dimension ref="B1:H69"/>
  <sheetViews>
    <sheetView topLeftCell="A22" workbookViewId="0">
      <selection activeCell="F15" sqref="F15"/>
    </sheetView>
  </sheetViews>
  <sheetFormatPr defaultColWidth="6.85546875" defaultRowHeight="12.75" x14ac:dyDescent="0.2"/>
  <cols>
    <col min="1" max="1" width="0.85546875" style="1" customWidth="1"/>
    <col min="2" max="2" width="11.7109375" style="37"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x14ac:dyDescent="0.2">
      <c r="G1" s="487">
        <f>MAX(G5:G65)</f>
        <v>0</v>
      </c>
    </row>
    <row r="2" spans="2:8" x14ac:dyDescent="0.2">
      <c r="B2" s="626" t="str">
        <f>Client1</f>
        <v>Province of KwaZulu-Natal</v>
      </c>
      <c r="E2" s="703" t="str">
        <f>"Contract No. "&amp;ContractNo</f>
        <v>Contract No. ZNB02287/00000/00/MET/INF/24/T</v>
      </c>
      <c r="F2" s="703"/>
      <c r="G2" s="703"/>
    </row>
    <row r="3" spans="2:8" x14ac:dyDescent="0.2">
      <c r="B3" s="623" t="str">
        <f>Client2</f>
        <v>Department of Transport</v>
      </c>
    </row>
    <row r="4" spans="2:8" x14ac:dyDescent="0.2">
      <c r="B4" s="71"/>
      <c r="C4" s="71"/>
      <c r="D4" s="624"/>
      <c r="E4" s="624"/>
      <c r="F4" s="73"/>
      <c r="G4" s="82"/>
    </row>
    <row r="5" spans="2:8" x14ac:dyDescent="0.2">
      <c r="B5" s="698" t="s">
        <v>8</v>
      </c>
      <c r="C5" s="699"/>
      <c r="D5" s="699"/>
      <c r="E5" s="699"/>
      <c r="F5" s="699"/>
      <c r="G5" s="700" t="str">
        <f>"CHAPTER "&amp;B11</f>
        <v>CHAPTER C10.1</v>
      </c>
      <c r="H5" s="625"/>
    </row>
    <row r="6" spans="2:8"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701"/>
      <c r="H6" s="8"/>
    </row>
    <row r="7" spans="2:8" ht="12.75" customHeight="1" x14ac:dyDescent="0.2">
      <c r="B7" s="691"/>
      <c r="C7" s="692"/>
      <c r="D7" s="692"/>
      <c r="E7" s="692"/>
      <c r="F7" s="692"/>
      <c r="G7" s="701"/>
      <c r="H7" s="8"/>
    </row>
    <row r="8" spans="2:8" ht="7.5" customHeight="1" x14ac:dyDescent="0.2">
      <c r="B8" s="693"/>
      <c r="C8" s="694"/>
      <c r="D8" s="694"/>
      <c r="E8" s="694"/>
      <c r="F8" s="694"/>
      <c r="G8" s="702"/>
      <c r="H8" s="8"/>
    </row>
    <row r="9" spans="2:8" s="9" customFormat="1" ht="24.95" customHeight="1" x14ac:dyDescent="0.2">
      <c r="B9" s="10" t="s">
        <v>0</v>
      </c>
      <c r="C9" s="11" t="s">
        <v>1</v>
      </c>
      <c r="D9" s="11" t="s">
        <v>2</v>
      </c>
      <c r="E9" s="11" t="s">
        <v>3</v>
      </c>
      <c r="F9" s="11" t="s">
        <v>4</v>
      </c>
      <c r="G9" s="11" t="s">
        <v>5</v>
      </c>
      <c r="H9" s="627"/>
    </row>
    <row r="10" spans="2:8" x14ac:dyDescent="0.2">
      <c r="B10" s="13"/>
      <c r="C10" s="14"/>
      <c r="D10" s="15"/>
      <c r="E10" s="15"/>
      <c r="F10" s="16"/>
      <c r="G10" s="17" t="str">
        <f>IF(D10="","",E10*F10)</f>
        <v/>
      </c>
      <c r="H10" s="18"/>
    </row>
    <row r="11" spans="2:8" ht="25.5" x14ac:dyDescent="0.2">
      <c r="B11" s="67" t="s">
        <v>1159</v>
      </c>
      <c r="C11" s="20" t="s">
        <v>1160</v>
      </c>
      <c r="D11" s="22"/>
      <c r="E11" s="22"/>
      <c r="F11" s="41"/>
      <c r="G11" s="25" t="str">
        <f>IF(D11="","",E11*F11)</f>
        <v/>
      </c>
      <c r="H11" s="42"/>
    </row>
    <row r="12" spans="2:8" x14ac:dyDescent="0.2">
      <c r="B12" s="51"/>
      <c r="C12" s="14"/>
      <c r="D12" s="22"/>
      <c r="E12" s="22"/>
      <c r="F12" s="41"/>
      <c r="G12" s="25" t="str">
        <f>IF(D12="","",E12*F12)</f>
        <v/>
      </c>
      <c r="H12" s="42"/>
    </row>
    <row r="13" spans="2:8" x14ac:dyDescent="0.2">
      <c r="B13" s="67" t="s">
        <v>1161</v>
      </c>
      <c r="C13" s="20" t="s">
        <v>1162</v>
      </c>
      <c r="D13" s="22"/>
      <c r="E13" s="22"/>
      <c r="F13" s="41"/>
      <c r="G13" s="25" t="str">
        <f>IF(D13="","",E13*F13)</f>
        <v/>
      </c>
      <c r="H13" s="42"/>
    </row>
    <row r="14" spans="2:8" x14ac:dyDescent="0.2">
      <c r="B14" s="51"/>
      <c r="C14" s="14"/>
      <c r="D14" s="22"/>
      <c r="E14" s="22"/>
      <c r="F14" s="41"/>
      <c r="G14" s="25" t="str">
        <f t="shared" ref="G14:G50" si="0">IF(D14="","",E14*F14)</f>
        <v/>
      </c>
      <c r="H14" s="42"/>
    </row>
    <row r="15" spans="2:8" x14ac:dyDescent="0.2">
      <c r="B15" s="654" t="s">
        <v>1163</v>
      </c>
      <c r="C15" s="653" t="s">
        <v>1164</v>
      </c>
      <c r="D15" s="22" t="s">
        <v>823</v>
      </c>
      <c r="E15" s="22">
        <v>15000</v>
      </c>
      <c r="F15" s="16"/>
      <c r="G15" s="25">
        <f t="shared" si="0"/>
        <v>0</v>
      </c>
      <c r="H15" s="42"/>
    </row>
    <row r="16" spans="2:8" x14ac:dyDescent="0.2">
      <c r="B16" s="51"/>
      <c r="C16" s="14"/>
      <c r="D16" s="22"/>
      <c r="E16" s="649"/>
      <c r="F16" s="16"/>
      <c r="G16" s="25"/>
      <c r="H16" s="42"/>
    </row>
    <row r="17" spans="2:8" x14ac:dyDescent="0.2">
      <c r="B17" s="51"/>
      <c r="C17" s="14"/>
      <c r="D17" s="22"/>
      <c r="E17" s="22"/>
      <c r="F17" s="532"/>
      <c r="G17" s="25"/>
      <c r="H17" s="42"/>
    </row>
    <row r="18" spans="2:8" x14ac:dyDescent="0.2">
      <c r="B18" s="51"/>
      <c r="C18" s="14"/>
      <c r="D18" s="22"/>
      <c r="E18" s="22"/>
      <c r="F18" s="532"/>
      <c r="G18" s="25"/>
      <c r="H18" s="42"/>
    </row>
    <row r="19" spans="2:8" x14ac:dyDescent="0.2">
      <c r="B19" s="51"/>
      <c r="C19" s="14"/>
      <c r="D19" s="648"/>
      <c r="E19" s="22"/>
      <c r="F19" s="532"/>
      <c r="G19" s="25"/>
      <c r="H19" s="42"/>
    </row>
    <row r="20" spans="2:8" x14ac:dyDescent="0.2">
      <c r="B20" s="51"/>
      <c r="C20" s="14"/>
      <c r="D20" s="648"/>
      <c r="E20" s="22"/>
      <c r="F20" s="651"/>
      <c r="G20" s="25"/>
      <c r="H20" s="42"/>
    </row>
    <row r="21" spans="2:8" x14ac:dyDescent="0.2">
      <c r="B21" s="51"/>
      <c r="C21" s="14"/>
      <c r="D21" s="648"/>
      <c r="E21" s="22"/>
      <c r="F21" s="80"/>
      <c r="G21" s="25"/>
      <c r="H21" s="42"/>
    </row>
    <row r="22" spans="2:8" x14ac:dyDescent="0.2">
      <c r="B22" s="51"/>
      <c r="C22" s="14"/>
      <c r="D22" s="648"/>
      <c r="E22" s="22"/>
      <c r="F22" s="80"/>
      <c r="G22" s="25"/>
      <c r="H22" s="42"/>
    </row>
    <row r="23" spans="2:8" x14ac:dyDescent="0.2">
      <c r="B23" s="51"/>
      <c r="C23" s="14"/>
      <c r="D23" s="648"/>
      <c r="E23" s="22"/>
      <c r="F23" s="80"/>
      <c r="G23" s="25"/>
      <c r="H23" s="42"/>
    </row>
    <row r="24" spans="2:8" x14ac:dyDescent="0.2">
      <c r="B24" s="51"/>
      <c r="C24" s="14"/>
      <c r="D24" s="648"/>
      <c r="E24" s="22"/>
      <c r="F24" s="80"/>
      <c r="G24" s="25"/>
      <c r="H24" s="42"/>
    </row>
    <row r="25" spans="2:8" x14ac:dyDescent="0.2">
      <c r="B25" s="51"/>
      <c r="C25" s="14"/>
      <c r="D25" s="648"/>
      <c r="E25" s="22"/>
      <c r="F25" s="80"/>
      <c r="G25" s="25"/>
      <c r="H25" s="42"/>
    </row>
    <row r="26" spans="2:8" x14ac:dyDescent="0.2">
      <c r="B26" s="51"/>
      <c r="C26" s="14"/>
      <c r="D26" s="648"/>
      <c r="E26" s="22"/>
      <c r="F26" s="80"/>
      <c r="G26" s="25"/>
      <c r="H26" s="42"/>
    </row>
    <row r="27" spans="2:8" x14ac:dyDescent="0.2">
      <c r="B27" s="51"/>
      <c r="C27" s="14"/>
      <c r="D27" s="648"/>
      <c r="E27" s="22"/>
      <c r="F27" s="80"/>
      <c r="G27" s="25"/>
      <c r="H27" s="42"/>
    </row>
    <row r="28" spans="2:8" x14ac:dyDescent="0.2">
      <c r="B28" s="51"/>
      <c r="C28" s="14"/>
      <c r="D28" s="648"/>
      <c r="E28" s="22"/>
      <c r="F28" s="80"/>
      <c r="G28" s="25"/>
      <c r="H28" s="42"/>
    </row>
    <row r="29" spans="2:8" x14ac:dyDescent="0.2">
      <c r="B29" s="51"/>
      <c r="C29" s="14"/>
      <c r="D29" s="648"/>
      <c r="E29" s="22"/>
      <c r="F29" s="80"/>
      <c r="G29" s="25"/>
      <c r="H29" s="42"/>
    </row>
    <row r="30" spans="2:8" x14ac:dyDescent="0.2">
      <c r="B30" s="51"/>
      <c r="C30" s="14"/>
      <c r="D30" s="648"/>
      <c r="E30" s="22"/>
      <c r="F30" s="80"/>
      <c r="G30" s="25"/>
      <c r="H30" s="42"/>
    </row>
    <row r="31" spans="2:8" x14ac:dyDescent="0.2">
      <c r="B31" s="51"/>
      <c r="C31" s="14"/>
      <c r="D31" s="648"/>
      <c r="E31" s="22"/>
      <c r="F31" s="80"/>
      <c r="G31" s="25"/>
      <c r="H31" s="42"/>
    </row>
    <row r="32" spans="2:8" x14ac:dyDescent="0.2">
      <c r="B32" s="51"/>
      <c r="C32" s="14"/>
      <c r="D32" s="648"/>
      <c r="E32" s="22"/>
      <c r="F32" s="80"/>
      <c r="G32" s="25"/>
      <c r="H32" s="42"/>
    </row>
    <row r="33" spans="2:8" x14ac:dyDescent="0.2">
      <c r="B33" s="51"/>
      <c r="C33" s="14"/>
      <c r="D33" s="648"/>
      <c r="E33" s="22"/>
      <c r="F33" s="80"/>
      <c r="G33" s="25"/>
      <c r="H33" s="42"/>
    </row>
    <row r="34" spans="2:8" x14ac:dyDescent="0.2">
      <c r="B34" s="51"/>
      <c r="C34" s="14"/>
      <c r="D34" s="648"/>
      <c r="E34" s="22"/>
      <c r="F34" s="80"/>
      <c r="G34" s="25"/>
      <c r="H34" s="42"/>
    </row>
    <row r="35" spans="2:8" x14ac:dyDescent="0.2">
      <c r="B35" s="51"/>
      <c r="C35" s="14"/>
      <c r="D35" s="648"/>
      <c r="E35" s="22"/>
      <c r="F35" s="80"/>
      <c r="G35" s="25"/>
      <c r="H35" s="42"/>
    </row>
    <row r="36" spans="2:8" x14ac:dyDescent="0.2">
      <c r="B36" s="51"/>
      <c r="C36" s="14"/>
      <c r="D36" s="648"/>
      <c r="E36" s="22"/>
      <c r="F36" s="80"/>
      <c r="G36" s="25"/>
      <c r="H36" s="42"/>
    </row>
    <row r="37" spans="2:8" x14ac:dyDescent="0.2">
      <c r="B37" s="51"/>
      <c r="C37" s="14"/>
      <c r="D37" s="648"/>
      <c r="E37" s="22"/>
      <c r="F37" s="80"/>
      <c r="G37" s="25"/>
      <c r="H37" s="42"/>
    </row>
    <row r="38" spans="2:8" x14ac:dyDescent="0.2">
      <c r="B38" s="51"/>
      <c r="C38" s="14"/>
      <c r="D38" s="648"/>
      <c r="E38" s="22"/>
      <c r="F38" s="80"/>
      <c r="G38" s="25"/>
      <c r="H38" s="42"/>
    </row>
    <row r="39" spans="2:8" x14ac:dyDescent="0.2">
      <c r="B39" s="51"/>
      <c r="C39" s="14"/>
      <c r="D39" s="648"/>
      <c r="E39" s="22"/>
      <c r="F39" s="80"/>
      <c r="G39" s="25"/>
      <c r="H39" s="42"/>
    </row>
    <row r="40" spans="2:8" x14ac:dyDescent="0.2">
      <c r="B40" s="51"/>
      <c r="C40" s="14"/>
      <c r="D40" s="648"/>
      <c r="E40" s="22"/>
      <c r="F40" s="80"/>
      <c r="G40" s="25"/>
      <c r="H40" s="42"/>
    </row>
    <row r="41" spans="2:8" x14ac:dyDescent="0.2">
      <c r="B41" s="51"/>
      <c r="C41" s="14"/>
      <c r="D41" s="648"/>
      <c r="E41" s="22"/>
      <c r="F41" s="80"/>
      <c r="G41" s="25"/>
      <c r="H41" s="42"/>
    </row>
    <row r="42" spans="2:8" x14ac:dyDescent="0.2">
      <c r="B42" s="51"/>
      <c r="C42" s="14"/>
      <c r="D42" s="648"/>
      <c r="E42" s="22"/>
      <c r="F42" s="80"/>
      <c r="G42" s="25"/>
      <c r="H42" s="42"/>
    </row>
    <row r="43" spans="2:8" x14ac:dyDescent="0.2">
      <c r="B43" s="51"/>
      <c r="C43" s="14"/>
      <c r="D43" s="648"/>
      <c r="E43" s="22"/>
      <c r="F43" s="80"/>
      <c r="G43" s="25"/>
      <c r="H43" s="42"/>
    </row>
    <row r="44" spans="2:8" x14ac:dyDescent="0.2">
      <c r="B44" s="51"/>
      <c r="C44" s="14"/>
      <c r="D44" s="648"/>
      <c r="E44" s="22"/>
      <c r="F44" s="80"/>
      <c r="G44" s="25"/>
      <c r="H44" s="42"/>
    </row>
    <row r="45" spans="2:8" x14ac:dyDescent="0.2">
      <c r="B45" s="51"/>
      <c r="C45" s="14"/>
      <c r="D45" s="648"/>
      <c r="E45" s="22"/>
      <c r="F45" s="80"/>
      <c r="G45" s="25"/>
      <c r="H45" s="42"/>
    </row>
    <row r="46" spans="2:8" x14ac:dyDescent="0.2">
      <c r="B46" s="51"/>
      <c r="C46" s="14"/>
      <c r="D46" s="648"/>
      <c r="E46" s="22"/>
      <c r="F46" s="80"/>
      <c r="G46" s="25"/>
      <c r="H46" s="42"/>
    </row>
    <row r="47" spans="2:8" x14ac:dyDescent="0.2">
      <c r="B47" s="51"/>
      <c r="C47" s="14"/>
      <c r="D47" s="648"/>
      <c r="E47" s="22"/>
      <c r="F47" s="80"/>
      <c r="G47" s="25"/>
      <c r="H47" s="42"/>
    </row>
    <row r="48" spans="2:8" x14ac:dyDescent="0.2">
      <c r="B48" s="51"/>
      <c r="C48" s="14"/>
      <c r="D48" s="648"/>
      <c r="E48" s="22"/>
      <c r="F48" s="80"/>
      <c r="G48" s="25"/>
      <c r="H48" s="42"/>
    </row>
    <row r="49" spans="2:8" x14ac:dyDescent="0.2">
      <c r="B49" s="51"/>
      <c r="C49" s="14"/>
      <c r="D49" s="648"/>
      <c r="E49" s="22"/>
      <c r="F49" s="80"/>
      <c r="G49" s="25"/>
      <c r="H49" s="42"/>
    </row>
    <row r="50" spans="2:8" x14ac:dyDescent="0.2">
      <c r="B50" s="51"/>
      <c r="C50" s="14"/>
      <c r="D50" s="648"/>
      <c r="E50" s="22"/>
      <c r="F50" s="80"/>
      <c r="G50" s="25" t="str">
        <f t="shared" si="0"/>
        <v/>
      </c>
      <c r="H50" s="42"/>
    </row>
    <row r="51" spans="2:8" x14ac:dyDescent="0.2">
      <c r="B51" s="51"/>
      <c r="C51" s="14"/>
      <c r="D51" s="648"/>
      <c r="E51" s="22"/>
      <c r="F51" s="80"/>
      <c r="G51" s="25"/>
      <c r="H51" s="42"/>
    </row>
    <row r="52" spans="2:8" x14ac:dyDescent="0.2">
      <c r="B52" s="51"/>
      <c r="C52" s="14"/>
      <c r="D52" s="648"/>
      <c r="E52" s="22"/>
      <c r="F52" s="80"/>
      <c r="G52" s="25"/>
      <c r="H52" s="42"/>
    </row>
    <row r="53" spans="2:8" x14ac:dyDescent="0.2">
      <c r="B53" s="51"/>
      <c r="C53" s="14"/>
      <c r="D53" s="648"/>
      <c r="E53" s="22"/>
      <c r="F53" s="80"/>
      <c r="G53" s="25"/>
      <c r="H53" s="42"/>
    </row>
    <row r="54" spans="2:8" x14ac:dyDescent="0.2">
      <c r="B54" s="51"/>
      <c r="C54" s="14"/>
      <c r="D54" s="648"/>
      <c r="E54" s="22"/>
      <c r="F54" s="80"/>
      <c r="G54" s="25"/>
      <c r="H54" s="42"/>
    </row>
    <row r="55" spans="2:8" x14ac:dyDescent="0.2">
      <c r="B55" s="51"/>
      <c r="C55" s="14"/>
      <c r="D55" s="648"/>
      <c r="E55" s="22"/>
      <c r="F55" s="80"/>
      <c r="G55" s="25"/>
      <c r="H55" s="42"/>
    </row>
    <row r="56" spans="2:8" x14ac:dyDescent="0.2">
      <c r="B56" s="51"/>
      <c r="C56" s="14"/>
      <c r="D56" s="648"/>
      <c r="E56" s="22"/>
      <c r="F56" s="80"/>
      <c r="G56" s="25"/>
      <c r="H56" s="42"/>
    </row>
    <row r="57" spans="2:8" x14ac:dyDescent="0.2">
      <c r="B57" s="51"/>
      <c r="C57" s="14"/>
      <c r="D57" s="648"/>
      <c r="E57" s="22"/>
      <c r="F57" s="80"/>
      <c r="G57" s="25"/>
      <c r="H57" s="42"/>
    </row>
    <row r="58" spans="2:8" x14ac:dyDescent="0.2">
      <c r="B58" s="51"/>
      <c r="C58" s="14"/>
      <c r="D58" s="648"/>
      <c r="E58" s="22"/>
      <c r="F58" s="80"/>
      <c r="G58" s="25"/>
      <c r="H58" s="42"/>
    </row>
    <row r="59" spans="2:8" x14ac:dyDescent="0.2">
      <c r="B59" s="51"/>
      <c r="C59" s="14"/>
      <c r="D59" s="648"/>
      <c r="E59" s="22"/>
      <c r="F59" s="80"/>
      <c r="G59" s="25"/>
      <c r="H59" s="42"/>
    </row>
    <row r="60" spans="2:8" x14ac:dyDescent="0.2">
      <c r="B60" s="51"/>
      <c r="C60" s="14"/>
      <c r="D60" s="648"/>
      <c r="E60" s="22"/>
      <c r="F60" s="80"/>
      <c r="G60" s="25"/>
      <c r="H60" s="42"/>
    </row>
    <row r="61" spans="2:8" x14ac:dyDescent="0.2">
      <c r="B61" s="51"/>
      <c r="C61" s="14"/>
      <c r="D61" s="648"/>
      <c r="E61" s="22"/>
      <c r="F61" s="80"/>
      <c r="G61" s="25"/>
      <c r="H61" s="42"/>
    </row>
    <row r="62" spans="2:8" x14ac:dyDescent="0.2">
      <c r="B62" s="51"/>
      <c r="C62" s="14"/>
      <c r="D62" s="648"/>
      <c r="E62" s="22"/>
      <c r="F62" s="80"/>
      <c r="G62" s="25"/>
      <c r="H62" s="42"/>
    </row>
    <row r="63" spans="2:8" x14ac:dyDescent="0.2">
      <c r="B63" s="51"/>
      <c r="C63" s="14"/>
      <c r="D63" s="648"/>
      <c r="E63" s="22"/>
      <c r="F63" s="80"/>
      <c r="G63" s="25"/>
      <c r="H63" s="42"/>
    </row>
    <row r="64" spans="2:8" x14ac:dyDescent="0.2">
      <c r="B64" s="647"/>
      <c r="C64" s="529"/>
      <c r="D64" s="648"/>
      <c r="E64" s="22"/>
      <c r="F64" s="80"/>
      <c r="G64" s="25"/>
      <c r="H64" s="42"/>
    </row>
    <row r="65" spans="2:8" s="30" customFormat="1" ht="22.5" customHeight="1" x14ac:dyDescent="0.2">
      <c r="B65" s="31"/>
      <c r="C65" s="32" t="str">
        <f>"TOTAL CARRIED FORWARD"&amp;IF(G65=G$1," TO SUMMARY (Page C"&amp;Page_A&amp;")","")</f>
        <v>TOTAL CARRIED FORWARD TO SUMMARY (Page C49)</v>
      </c>
      <c r="D65" s="650"/>
      <c r="E65" s="543"/>
      <c r="F65" s="33"/>
      <c r="G65" s="352">
        <f>SUM(G10:G63)</f>
        <v>0</v>
      </c>
      <c r="H65" s="36"/>
    </row>
    <row r="69" spans="2:8" x14ac:dyDescent="0.2">
      <c r="G69" s="652"/>
    </row>
  </sheetData>
  <mergeCells count="4">
    <mergeCell ref="E2:G2"/>
    <mergeCell ref="B5:F5"/>
    <mergeCell ref="G5:G8"/>
    <mergeCell ref="B6:F8"/>
  </mergeCells>
  <pageMargins left="0.70866141732283472" right="0.70866141732283472" top="0.74803149606299213" bottom="0.74803149606299213" header="0.31496062992125984" footer="0.31496062992125984"/>
  <pageSetup paperSize="9" scale="74"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EABD98B-E3DB-4CAE-B843-39BBB0852DAE}">
            <xm:f>AND(Information!$C$8=FALSE,$D15&lt;&gt;"P C Sum",$D15&lt;&gt;"PC Sum",$D15&lt;&gt;"P Sum",$D15&lt;&gt;"Prov Sum")</xm:f>
            <x14:dxf>
              <font>
                <strike val="0"/>
                <color theme="0"/>
              </font>
              <numFmt numFmtId="4" formatCode="#,##0.00"/>
            </x14:dxf>
          </x14:cfRule>
          <xm:sqref>F15:G16 F17:F18 G17:G50</xm:sqref>
        </x14:conditionalFormatting>
        <x14:conditionalFormatting xmlns:xm="http://schemas.microsoft.com/office/excel/2006/main">
          <x14:cfRule type="expression" priority="3" id="{231C865E-4BCA-4A22-BB22-8C6C71D0D77D}">
            <xm:f>AND(Information!$C$8=FALSE,$D19&lt;&gt;"P C Sum",$D19&lt;&gt;"PC Sum",$D19&lt;&gt;"P Sum",$D19&lt;&gt;"Prov Sum")</xm:f>
            <x14:dxf>
              <font>
                <strike val="0"/>
                <color theme="0"/>
              </font>
              <numFmt numFmtId="4" formatCode="#,##0.00"/>
            </x14:dxf>
          </x14:cfRule>
          <xm:sqref>F19 G51:G64</xm:sqref>
        </x14:conditionalFormatting>
        <x14:conditionalFormatting xmlns:xm="http://schemas.microsoft.com/office/excel/2006/main">
          <x14:cfRule type="expression" priority="2" id="{46107D03-0145-4084-852D-77582338559D}">
            <xm:f>AND(Information!$C$8=FALSE,$D65&lt;&gt;"P C Sum",$D65&lt;&gt;"PC Sum",$D65&lt;&gt;"P Sum",$D65&lt;&gt;"Prov Sum")</xm:f>
            <x14:dxf>
              <font>
                <strike val="0"/>
                <color theme="0"/>
              </font>
              <numFmt numFmtId="4" formatCode="#,##0.00"/>
            </x14:dxf>
          </x14:cfRule>
          <xm:sqref>G65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1583-D943-488E-A806-8C48B7F75566}">
  <sheetPr codeName="Sheet81">
    <tabColor rgb="FF00B050"/>
  </sheetPr>
  <dimension ref="B1:M64"/>
  <sheetViews>
    <sheetView view="pageBreakPreview" zoomScaleNormal="125" zoomScaleSheetLayoutView="100" zoomScalePageLayoutView="125" workbookViewId="0">
      <pane xSplit="4" ySplit="2" topLeftCell="E18" activePane="bottomRight" state="frozen"/>
      <selection activeCell="G5" sqref="G5:G8"/>
      <selection pane="topRight" activeCell="G5" sqref="G5:G8"/>
      <selection pane="bottomLeft" activeCell="G5" sqref="G5:G8"/>
      <selection pane="bottomRight" activeCell="C35" sqref="C35"/>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10.7109375" style="1" bestFit="1" customWidth="1"/>
    <col min="12" max="16384" width="8.85546875" style="1"/>
  </cols>
  <sheetData>
    <row r="1" spans="2:13" x14ac:dyDescent="0.2">
      <c r="G1" s="166">
        <f>MAX(G9:G504)</f>
        <v>0</v>
      </c>
    </row>
    <row r="2" spans="2:13" x14ac:dyDescent="0.2">
      <c r="B2" s="2" t="str">
        <f>Client1</f>
        <v>Province of KwaZulu-Natal</v>
      </c>
      <c r="E2" s="703" t="str">
        <f>"Contract No. "&amp;ContractNo</f>
        <v>Contract No. ZNB02287/00000/00/MET/INF/24/T</v>
      </c>
      <c r="F2" s="703"/>
      <c r="G2" s="703"/>
      <c r="J2" s="293"/>
      <c r="K2" s="293" t="e">
        <f>MAX(K3:K249)</f>
        <v>#NAME?</v>
      </c>
      <c r="L2" s="293"/>
      <c r="M2" s="294"/>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8</v>
      </c>
      <c r="C5" s="699"/>
      <c r="D5" s="699"/>
      <c r="E5" s="699"/>
      <c r="F5" s="699"/>
      <c r="G5" s="695" t="str">
        <f>"CHAPTER "&amp;B11</f>
        <v>CHAPTER C11.1</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s="9" customFormat="1" ht="7.5" customHeight="1" x14ac:dyDescent="0.2">
      <c r="B8" s="693"/>
      <c r="C8" s="694"/>
      <c r="D8" s="694"/>
      <c r="E8" s="694"/>
      <c r="F8" s="694"/>
      <c r="G8" s="69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17" t="str">
        <f t="shared" ref="G10:G29" si="0">IF(D10="","",E10*F10)</f>
        <v/>
      </c>
      <c r="H10" s="18"/>
      <c r="J10" s="16"/>
      <c r="K10" s="16"/>
      <c r="L10" s="16"/>
      <c r="M10" s="16"/>
    </row>
    <row r="11" spans="2:13" ht="38.25" x14ac:dyDescent="0.2">
      <c r="B11" s="47" t="s">
        <v>198</v>
      </c>
      <c r="C11" s="20" t="s">
        <v>197</v>
      </c>
      <c r="D11" s="15"/>
      <c r="E11" s="15"/>
      <c r="F11" s="16"/>
      <c r="G11" s="25" t="str">
        <f t="shared" si="0"/>
        <v/>
      </c>
      <c r="H11" s="18"/>
      <c r="J11" s="41"/>
      <c r="K11" s="41"/>
      <c r="L11" s="41"/>
      <c r="M11" s="41"/>
    </row>
    <row r="12" spans="2:13" x14ac:dyDescent="0.2">
      <c r="B12" s="51"/>
      <c r="C12" s="14"/>
      <c r="D12" s="15"/>
      <c r="E12" s="15"/>
      <c r="F12" s="16"/>
      <c r="G12" s="25" t="str">
        <f t="shared" si="0"/>
        <v/>
      </c>
      <c r="H12" s="18"/>
      <c r="J12" s="41"/>
      <c r="K12" s="41"/>
      <c r="L12" s="41"/>
      <c r="M12" s="41"/>
    </row>
    <row r="13" spans="2:13" x14ac:dyDescent="0.2">
      <c r="B13" s="59" t="s">
        <v>196</v>
      </c>
      <c r="C13" s="14" t="s">
        <v>195</v>
      </c>
      <c r="D13" s="15"/>
      <c r="E13" s="15"/>
      <c r="F13" s="16"/>
      <c r="G13" s="25" t="str">
        <f t="shared" si="0"/>
        <v/>
      </c>
      <c r="H13" s="18"/>
      <c r="J13" s="24"/>
      <c r="K13" s="46" t="str">
        <f t="shared" ref="K13:K50" si="1">IF(J13="","",J13*E13)</f>
        <v/>
      </c>
      <c r="L13" s="24"/>
      <c r="M13" s="24"/>
    </row>
    <row r="14" spans="2:13" x14ac:dyDescent="0.2">
      <c r="B14" s="59"/>
      <c r="C14" s="14"/>
      <c r="D14" s="15"/>
      <c r="E14" s="15"/>
      <c r="F14" s="16"/>
      <c r="G14" s="25" t="str">
        <f t="shared" si="0"/>
        <v/>
      </c>
      <c r="H14" s="18"/>
      <c r="J14" s="41"/>
      <c r="K14" s="46" t="str">
        <f t="shared" si="1"/>
        <v/>
      </c>
      <c r="L14" s="41"/>
      <c r="M14" s="41"/>
    </row>
    <row r="15" spans="2:13" ht="38.25" x14ac:dyDescent="0.2">
      <c r="B15" s="51" t="s">
        <v>194</v>
      </c>
      <c r="C15" s="14" t="s">
        <v>193</v>
      </c>
      <c r="D15" s="22" t="s">
        <v>168</v>
      </c>
      <c r="E15" s="23">
        <v>5</v>
      </c>
      <c r="F15" s="16"/>
      <c r="G15" s="25">
        <f t="shared" si="0"/>
        <v>0</v>
      </c>
      <c r="H15" s="58"/>
      <c r="J15" s="339">
        <f>_Excavation</f>
        <v>0</v>
      </c>
      <c r="K15" s="46">
        <f>IF(J15="","",J15*E15)</f>
        <v>0</v>
      </c>
      <c r="L15" s="41"/>
      <c r="M15" s="41"/>
    </row>
    <row r="16" spans="2:13" x14ac:dyDescent="0.2">
      <c r="B16" s="59"/>
      <c r="C16" s="14"/>
      <c r="D16" s="15"/>
      <c r="E16" s="26"/>
      <c r="F16" s="16"/>
      <c r="G16" s="25" t="str">
        <f t="shared" si="0"/>
        <v/>
      </c>
      <c r="H16" s="18"/>
      <c r="J16" s="41"/>
      <c r="K16" s="46" t="str">
        <f>IF(J16="","",J16*E16)</f>
        <v/>
      </c>
      <c r="L16" s="41"/>
      <c r="M16" s="41"/>
    </row>
    <row r="17" spans="2:13" ht="38.25" x14ac:dyDescent="0.2">
      <c r="B17" s="51" t="s">
        <v>192</v>
      </c>
      <c r="C17" s="14" t="s">
        <v>191</v>
      </c>
      <c r="D17" s="22" t="s">
        <v>168</v>
      </c>
      <c r="E17" s="26">
        <v>5</v>
      </c>
      <c r="F17" s="16"/>
      <c r="G17" s="25">
        <f t="shared" si="0"/>
        <v>0</v>
      </c>
      <c r="H17" s="18"/>
      <c r="J17" s="339">
        <f>_Excavation</f>
        <v>0</v>
      </c>
      <c r="K17" s="46">
        <f t="shared" si="1"/>
        <v>0</v>
      </c>
      <c r="L17" s="41"/>
      <c r="M17" s="41"/>
    </row>
    <row r="18" spans="2:13" x14ac:dyDescent="0.2">
      <c r="B18" s="59"/>
      <c r="C18" s="14"/>
      <c r="D18" s="15"/>
      <c r="E18" s="26"/>
      <c r="F18" s="16"/>
      <c r="G18" s="25" t="str">
        <f t="shared" si="0"/>
        <v/>
      </c>
      <c r="H18" s="60"/>
      <c r="J18" s="41"/>
      <c r="K18" s="46" t="str">
        <f t="shared" si="1"/>
        <v/>
      </c>
      <c r="L18" s="41"/>
      <c r="M18" s="41"/>
    </row>
    <row r="19" spans="2:13" s="30" customFormat="1" x14ac:dyDescent="0.2">
      <c r="B19" s="67" t="s">
        <v>190</v>
      </c>
      <c r="C19" s="456" t="s">
        <v>189</v>
      </c>
      <c r="D19" s="429"/>
      <c r="E19" s="451"/>
      <c r="F19" s="431"/>
      <c r="G19" s="432" t="str">
        <f t="shared" si="0"/>
        <v/>
      </c>
      <c r="H19" s="488"/>
      <c r="J19" s="447"/>
      <c r="K19" s="448" t="str">
        <f t="shared" si="1"/>
        <v/>
      </c>
      <c r="L19" s="447"/>
      <c r="M19" s="447"/>
    </row>
    <row r="20" spans="2:13" x14ac:dyDescent="0.2">
      <c r="B20" s="59"/>
      <c r="C20" s="27"/>
      <c r="D20" s="61"/>
      <c r="E20" s="26"/>
      <c r="F20" s="16"/>
      <c r="G20" s="25" t="str">
        <f t="shared" si="0"/>
        <v/>
      </c>
      <c r="H20" s="63"/>
      <c r="J20" s="41"/>
      <c r="K20" s="46" t="str">
        <f t="shared" si="1"/>
        <v/>
      </c>
      <c r="L20" s="41"/>
      <c r="M20" s="41"/>
    </row>
    <row r="21" spans="2:13" x14ac:dyDescent="0.2">
      <c r="B21" s="51" t="s">
        <v>188</v>
      </c>
      <c r="C21" s="14" t="s">
        <v>187</v>
      </c>
      <c r="D21" s="22"/>
      <c r="E21" s="26"/>
      <c r="F21" s="16"/>
      <c r="G21" s="25" t="str">
        <f t="shared" si="0"/>
        <v/>
      </c>
      <c r="H21" s="63"/>
      <c r="J21" s="41"/>
      <c r="K21" s="46" t="str">
        <f t="shared" si="1"/>
        <v/>
      </c>
      <c r="L21" s="41"/>
      <c r="M21" s="41"/>
    </row>
    <row r="22" spans="2:13" x14ac:dyDescent="0.2">
      <c r="B22" s="59"/>
      <c r="C22" s="27"/>
      <c r="D22" s="61"/>
      <c r="E22" s="26"/>
      <c r="F22" s="16"/>
      <c r="G22" s="25" t="str">
        <f t="shared" si="0"/>
        <v/>
      </c>
      <c r="H22" s="63"/>
      <c r="J22" s="41"/>
      <c r="K22" s="46" t="str">
        <f t="shared" si="1"/>
        <v/>
      </c>
      <c r="L22" s="41"/>
      <c r="M22" s="41"/>
    </row>
    <row r="23" spans="2:13" x14ac:dyDescent="0.2">
      <c r="B23" s="59" t="s">
        <v>34</v>
      </c>
      <c r="C23" s="14" t="s">
        <v>186</v>
      </c>
      <c r="D23" s="61" t="s">
        <v>167</v>
      </c>
      <c r="E23" s="26">
        <v>40</v>
      </c>
      <c r="F23" s="16"/>
      <c r="G23" s="25">
        <f t="shared" si="0"/>
        <v>0</v>
      </c>
      <c r="H23" s="63"/>
      <c r="J23" s="41">
        <f>_Mix*0.2</f>
        <v>0</v>
      </c>
      <c r="K23" s="46">
        <f t="shared" si="1"/>
        <v>0</v>
      </c>
      <c r="L23" s="41"/>
      <c r="M23" s="41"/>
    </row>
    <row r="24" spans="2:13" x14ac:dyDescent="0.2">
      <c r="B24" s="59"/>
      <c r="C24" s="27"/>
      <c r="D24" s="61"/>
      <c r="E24" s="26"/>
      <c r="F24" s="16"/>
      <c r="G24" s="25" t="str">
        <f t="shared" si="0"/>
        <v/>
      </c>
      <c r="H24" s="63"/>
      <c r="J24" s="41"/>
      <c r="K24" s="46" t="str">
        <f t="shared" si="1"/>
        <v/>
      </c>
      <c r="L24" s="41"/>
      <c r="M24" s="41"/>
    </row>
    <row r="25" spans="2:13" x14ac:dyDescent="0.2">
      <c r="B25" s="51" t="s">
        <v>185</v>
      </c>
      <c r="C25" s="14" t="s">
        <v>184</v>
      </c>
      <c r="D25" s="22" t="s">
        <v>167</v>
      </c>
      <c r="E25" s="26">
        <v>70</v>
      </c>
      <c r="F25" s="16"/>
      <c r="G25" s="25">
        <f t="shared" si="0"/>
        <v>0</v>
      </c>
      <c r="H25" s="18"/>
      <c r="J25" s="41">
        <f>_Mix*0.2</f>
        <v>0</v>
      </c>
      <c r="K25" s="46">
        <f t="shared" si="1"/>
        <v>0</v>
      </c>
      <c r="L25" s="41"/>
      <c r="M25" s="41"/>
    </row>
    <row r="26" spans="2:13" x14ac:dyDescent="0.2">
      <c r="B26" s="51"/>
      <c r="C26" s="14"/>
      <c r="D26" s="22"/>
      <c r="E26" s="26"/>
      <c r="F26" s="16"/>
      <c r="G26" s="25" t="str">
        <f t="shared" si="0"/>
        <v/>
      </c>
      <c r="H26" s="18"/>
      <c r="J26" s="41"/>
      <c r="K26" s="46"/>
      <c r="L26" s="41"/>
      <c r="M26" s="41"/>
    </row>
    <row r="27" spans="2:13" x14ac:dyDescent="0.2">
      <c r="B27" s="494" t="s">
        <v>990</v>
      </c>
      <c r="C27" s="490" t="s">
        <v>991</v>
      </c>
      <c r="D27" s="491"/>
      <c r="E27" s="492"/>
      <c r="F27" s="16"/>
      <c r="G27" s="25" t="str">
        <f t="shared" si="0"/>
        <v/>
      </c>
      <c r="H27" s="18"/>
      <c r="J27" s="41"/>
      <c r="K27" s="46"/>
      <c r="L27" s="41"/>
      <c r="M27" s="41"/>
    </row>
    <row r="28" spans="2:13" x14ac:dyDescent="0.2">
      <c r="B28" s="489"/>
      <c r="C28" s="490"/>
      <c r="D28" s="491"/>
      <c r="E28" s="492"/>
      <c r="F28" s="16"/>
      <c r="G28" s="25" t="str">
        <f t="shared" si="0"/>
        <v/>
      </c>
      <c r="H28" s="18"/>
      <c r="J28" s="41"/>
      <c r="K28" s="46"/>
      <c r="L28" s="41"/>
      <c r="M28" s="41"/>
    </row>
    <row r="29" spans="2:13" x14ac:dyDescent="0.2">
      <c r="B29" s="439" t="s">
        <v>993</v>
      </c>
      <c r="C29" s="493" t="s">
        <v>992</v>
      </c>
      <c r="D29" s="491" t="s">
        <v>181</v>
      </c>
      <c r="E29" s="492">
        <v>3</v>
      </c>
      <c r="F29" s="16"/>
      <c r="G29" s="25">
        <f t="shared" si="0"/>
        <v>0</v>
      </c>
      <c r="H29" s="18"/>
      <c r="J29" s="41"/>
      <c r="K29" s="46"/>
      <c r="L29" s="41"/>
      <c r="M29" s="41"/>
    </row>
    <row r="30" spans="2:13" x14ac:dyDescent="0.2">
      <c r="B30" s="59"/>
      <c r="C30" s="14"/>
      <c r="D30" s="15"/>
      <c r="E30" s="26"/>
      <c r="F30" s="16"/>
      <c r="G30" s="25"/>
      <c r="H30" s="18"/>
      <c r="J30" s="41"/>
      <c r="K30" s="46" t="str">
        <f t="shared" si="1"/>
        <v/>
      </c>
      <c r="L30" s="41"/>
      <c r="M30" s="41"/>
    </row>
    <row r="31" spans="2:13" x14ac:dyDescent="0.2">
      <c r="B31" s="51" t="s">
        <v>183</v>
      </c>
      <c r="C31" s="28" t="s">
        <v>583</v>
      </c>
      <c r="D31" s="22" t="s">
        <v>168</v>
      </c>
      <c r="E31" s="26">
        <v>5</v>
      </c>
      <c r="F31" s="16"/>
      <c r="G31" s="25">
        <f>IF(D31="","",E31*F31)</f>
        <v>0</v>
      </c>
      <c r="H31" s="18"/>
      <c r="J31" s="41" t="e">
        <f>_Place+_Formwork</f>
        <v>#NAME?</v>
      </c>
      <c r="K31" s="46" t="e">
        <f t="shared" si="1"/>
        <v>#NAME?</v>
      </c>
      <c r="L31" s="41"/>
      <c r="M31" s="41"/>
    </row>
    <row r="32" spans="2:13" x14ac:dyDescent="0.2">
      <c r="B32" s="59"/>
      <c r="C32" s="14"/>
      <c r="D32" s="15"/>
      <c r="E32" s="26"/>
      <c r="F32" s="16"/>
      <c r="G32" s="25" t="str">
        <f t="shared" ref="G32:G37" si="2">IF(D32="","",E32*F32)</f>
        <v/>
      </c>
      <c r="H32" s="18"/>
      <c r="J32" s="41"/>
      <c r="K32" s="46" t="str">
        <f t="shared" si="1"/>
        <v/>
      </c>
      <c r="L32" s="41"/>
      <c r="M32" s="41"/>
    </row>
    <row r="33" spans="2:13" x14ac:dyDescent="0.2">
      <c r="B33" s="438" t="s">
        <v>994</v>
      </c>
      <c r="C33" s="128" t="s">
        <v>995</v>
      </c>
      <c r="D33" s="128"/>
      <c r="E33" s="128"/>
      <c r="F33" s="16"/>
      <c r="G33" s="25" t="str">
        <f t="shared" si="2"/>
        <v/>
      </c>
      <c r="H33" s="58"/>
      <c r="J33" s="41"/>
      <c r="K33" s="46" t="str">
        <f t="shared" si="1"/>
        <v/>
      </c>
      <c r="L33" s="41"/>
      <c r="M33" s="41"/>
    </row>
    <row r="34" spans="2:13" x14ac:dyDescent="0.2">
      <c r="B34" s="438"/>
      <c r="C34" s="128"/>
      <c r="D34" s="495"/>
      <c r="E34" s="496"/>
      <c r="F34" s="16"/>
      <c r="G34" s="25" t="str">
        <f t="shared" si="2"/>
        <v/>
      </c>
      <c r="H34" s="18"/>
      <c r="J34" s="41"/>
      <c r="K34" s="46" t="str">
        <f t="shared" si="1"/>
        <v/>
      </c>
      <c r="L34" s="41"/>
      <c r="M34" s="41"/>
    </row>
    <row r="35" spans="2:13" x14ac:dyDescent="0.2">
      <c r="B35" s="439" t="s">
        <v>996</v>
      </c>
      <c r="C35" s="84" t="s">
        <v>997</v>
      </c>
      <c r="D35" s="497" t="s">
        <v>171</v>
      </c>
      <c r="E35" s="498">
        <v>1</v>
      </c>
      <c r="F35" s="16"/>
      <c r="G35" s="25">
        <f t="shared" si="2"/>
        <v>0</v>
      </c>
      <c r="H35" s="18"/>
      <c r="J35" s="41"/>
      <c r="K35" s="46" t="str">
        <f t="shared" si="1"/>
        <v/>
      </c>
      <c r="L35" s="41"/>
      <c r="M35" s="41"/>
    </row>
    <row r="36" spans="2:13" x14ac:dyDescent="0.2">
      <c r="B36" s="438"/>
      <c r="C36" s="128"/>
      <c r="D36" s="495"/>
      <c r="E36" s="496"/>
      <c r="F36" s="16"/>
      <c r="G36" s="25" t="str">
        <f t="shared" si="2"/>
        <v/>
      </c>
      <c r="H36" s="18"/>
      <c r="J36" s="41"/>
      <c r="K36" s="46" t="str">
        <f t="shared" si="1"/>
        <v/>
      </c>
      <c r="L36" s="41"/>
      <c r="M36" s="41"/>
    </row>
    <row r="37" spans="2:13" x14ac:dyDescent="0.2">
      <c r="B37" s="439" t="s">
        <v>998</v>
      </c>
      <c r="C37" s="84" t="s">
        <v>999</v>
      </c>
      <c r="D37" s="499" t="s">
        <v>25</v>
      </c>
      <c r="E37" s="617">
        <v>0.1</v>
      </c>
      <c r="F37" s="16"/>
      <c r="G37" s="25">
        <f t="shared" si="2"/>
        <v>0</v>
      </c>
      <c r="H37" s="18"/>
      <c r="J37" s="41"/>
      <c r="K37" s="46" t="str">
        <f t="shared" si="1"/>
        <v/>
      </c>
      <c r="L37" s="41"/>
      <c r="M37" s="41"/>
    </row>
    <row r="38" spans="2:13" x14ac:dyDescent="0.2">
      <c r="B38" s="59"/>
      <c r="C38" s="14"/>
      <c r="D38" s="15"/>
      <c r="E38" s="15"/>
      <c r="F38" s="16"/>
      <c r="G38" s="25"/>
      <c r="H38" s="18"/>
      <c r="J38" s="41"/>
      <c r="K38" s="46" t="str">
        <f t="shared" si="1"/>
        <v/>
      </c>
      <c r="L38" s="41"/>
      <c r="M38" s="41"/>
    </row>
    <row r="39" spans="2:13" x14ac:dyDescent="0.2">
      <c r="B39" s="51"/>
      <c r="C39" s="14"/>
      <c r="D39" s="22"/>
      <c r="E39" s="15"/>
      <c r="F39" s="16"/>
      <c r="G39" s="25"/>
      <c r="H39" s="18"/>
      <c r="J39" s="41"/>
      <c r="K39" s="46" t="str">
        <f t="shared" si="1"/>
        <v/>
      </c>
      <c r="L39" s="41"/>
      <c r="M39" s="41"/>
    </row>
    <row r="40" spans="2:13" x14ac:dyDescent="0.2">
      <c r="B40" s="59"/>
      <c r="C40" s="14"/>
      <c r="D40" s="15"/>
      <c r="E40" s="15"/>
      <c r="F40" s="16"/>
      <c r="G40" s="25"/>
      <c r="H40" s="18"/>
      <c r="J40" s="41"/>
      <c r="K40" s="46" t="str">
        <f t="shared" si="1"/>
        <v/>
      </c>
      <c r="L40" s="41"/>
      <c r="M40" s="41"/>
    </row>
    <row r="41" spans="2:13" x14ac:dyDescent="0.2">
      <c r="B41" s="51"/>
      <c r="C41" s="14"/>
      <c r="D41" s="22"/>
      <c r="E41" s="15"/>
      <c r="F41" s="16"/>
      <c r="G41" s="25"/>
      <c r="H41" s="18"/>
      <c r="J41" s="41"/>
      <c r="K41" s="46" t="str">
        <f t="shared" si="1"/>
        <v/>
      </c>
      <c r="L41" s="41"/>
      <c r="M41" s="41"/>
    </row>
    <row r="42" spans="2:13" x14ac:dyDescent="0.2">
      <c r="B42" s="59"/>
      <c r="C42" s="14"/>
      <c r="D42" s="15"/>
      <c r="E42" s="15"/>
      <c r="F42" s="16"/>
      <c r="G42" s="25"/>
      <c r="H42" s="18"/>
      <c r="J42" s="41"/>
      <c r="K42" s="46" t="str">
        <f t="shared" si="1"/>
        <v/>
      </c>
      <c r="L42" s="41"/>
      <c r="M42" s="41"/>
    </row>
    <row r="43" spans="2:13" x14ac:dyDescent="0.2">
      <c r="B43" s="51"/>
      <c r="C43" s="14"/>
      <c r="D43" s="22"/>
      <c r="E43" s="15"/>
      <c r="F43" s="16"/>
      <c r="G43" s="25"/>
      <c r="H43" s="18"/>
      <c r="J43" s="41"/>
      <c r="K43" s="46" t="str">
        <f t="shared" si="1"/>
        <v/>
      </c>
      <c r="L43" s="41"/>
      <c r="M43" s="41"/>
    </row>
    <row r="44" spans="2:13" x14ac:dyDescent="0.2">
      <c r="B44" s="59"/>
      <c r="C44" s="14"/>
      <c r="D44" s="15"/>
      <c r="E44" s="15"/>
      <c r="F44" s="16"/>
      <c r="G44" s="25"/>
      <c r="H44" s="18"/>
      <c r="J44" s="41"/>
      <c r="K44" s="46" t="str">
        <f t="shared" si="1"/>
        <v/>
      </c>
      <c r="L44" s="41"/>
      <c r="M44" s="41"/>
    </row>
    <row r="45" spans="2:13" x14ac:dyDescent="0.2">
      <c r="B45" s="51"/>
      <c r="C45" s="14"/>
      <c r="D45" s="22"/>
      <c r="E45" s="61"/>
      <c r="F45" s="16"/>
      <c r="G45" s="25"/>
      <c r="H45" s="63"/>
      <c r="J45" s="41"/>
      <c r="K45" s="46" t="str">
        <f t="shared" si="1"/>
        <v/>
      </c>
      <c r="L45" s="41"/>
      <c r="M45" s="41"/>
    </row>
    <row r="46" spans="2:13" x14ac:dyDescent="0.2">
      <c r="B46" s="59"/>
      <c r="C46" s="14"/>
      <c r="D46" s="15"/>
      <c r="E46" s="15"/>
      <c r="F46" s="16"/>
      <c r="G46" s="25"/>
      <c r="H46" s="18"/>
      <c r="J46" s="41"/>
      <c r="K46" s="46" t="str">
        <f t="shared" si="1"/>
        <v/>
      </c>
      <c r="L46" s="41"/>
      <c r="M46" s="41"/>
    </row>
    <row r="47" spans="2:13" x14ac:dyDescent="0.2">
      <c r="B47" s="51"/>
      <c r="C47" s="27"/>
      <c r="D47" s="61"/>
      <c r="E47" s="61"/>
      <c r="F47" s="16"/>
      <c r="G47" s="25"/>
      <c r="H47" s="66"/>
      <c r="J47" s="41"/>
      <c r="K47" s="46" t="str">
        <f t="shared" si="1"/>
        <v/>
      </c>
      <c r="L47" s="41"/>
      <c r="M47" s="41"/>
    </row>
    <row r="48" spans="2:13" x14ac:dyDescent="0.2">
      <c r="B48" s="59"/>
      <c r="C48" s="27"/>
      <c r="D48" s="61"/>
      <c r="E48" s="61"/>
      <c r="F48" s="16"/>
      <c r="G48" s="25"/>
      <c r="H48" s="63"/>
      <c r="J48" s="41"/>
      <c r="K48" s="46" t="str">
        <f t="shared" si="1"/>
        <v/>
      </c>
      <c r="L48" s="41"/>
      <c r="M48" s="41"/>
    </row>
    <row r="49" spans="2:13" x14ac:dyDescent="0.2">
      <c r="B49" s="59"/>
      <c r="C49" s="14"/>
      <c r="D49" s="22"/>
      <c r="E49" s="15"/>
      <c r="F49" s="16"/>
      <c r="G49" s="25"/>
      <c r="H49" s="18"/>
      <c r="J49" s="41"/>
      <c r="K49" s="46" t="str">
        <f t="shared" si="1"/>
        <v/>
      </c>
      <c r="L49" s="41"/>
      <c r="M49" s="41"/>
    </row>
    <row r="50" spans="2:13" x14ac:dyDescent="0.2">
      <c r="B50" s="59"/>
      <c r="C50" s="14"/>
      <c r="D50" s="15"/>
      <c r="E50" s="15"/>
      <c r="F50" s="16"/>
      <c r="G50" s="25"/>
      <c r="H50" s="18"/>
      <c r="J50" s="41"/>
      <c r="K50" s="46" t="str">
        <f t="shared" si="1"/>
        <v/>
      </c>
      <c r="L50" s="41"/>
      <c r="M50" s="41"/>
    </row>
    <row r="51" spans="2:13" x14ac:dyDescent="0.2">
      <c r="B51" s="78"/>
      <c r="C51" s="14"/>
      <c r="D51" s="22"/>
      <c r="E51" s="15"/>
      <c r="F51" s="16"/>
      <c r="G51" s="25"/>
      <c r="H51" s="18"/>
    </row>
    <row r="52" spans="2:13" x14ac:dyDescent="0.2">
      <c r="B52" s="59"/>
      <c r="C52" s="14"/>
      <c r="D52" s="15"/>
      <c r="E52" s="15"/>
      <c r="F52" s="16"/>
      <c r="G52" s="25"/>
      <c r="H52" s="18"/>
    </row>
    <row r="53" spans="2:13" x14ac:dyDescent="0.2">
      <c r="B53" s="59"/>
      <c r="C53" s="14"/>
      <c r="D53" s="22"/>
      <c r="E53" s="15"/>
      <c r="F53" s="16"/>
      <c r="G53" s="25"/>
      <c r="H53" s="18"/>
    </row>
    <row r="54" spans="2:13" x14ac:dyDescent="0.2">
      <c r="B54" s="51"/>
      <c r="C54" s="14"/>
      <c r="D54" s="15"/>
      <c r="E54" s="15"/>
      <c r="F54" s="16"/>
      <c r="G54" s="25"/>
    </row>
    <row r="55" spans="2:13" x14ac:dyDescent="0.2">
      <c r="B55" s="51"/>
      <c r="C55" s="27"/>
      <c r="D55" s="15"/>
      <c r="E55" s="15"/>
      <c r="F55" s="16"/>
      <c r="G55" s="25"/>
    </row>
    <row r="56" spans="2:13" x14ac:dyDescent="0.2">
      <c r="B56" s="51"/>
      <c r="C56" s="14"/>
      <c r="D56" s="15"/>
      <c r="E56" s="15"/>
      <c r="F56" s="16"/>
      <c r="G56" s="25"/>
    </row>
    <row r="57" spans="2:13" x14ac:dyDescent="0.2">
      <c r="B57" s="59"/>
      <c r="C57" s="14"/>
      <c r="D57" s="22"/>
      <c r="E57" s="15"/>
      <c r="F57" s="16"/>
      <c r="G57" s="25"/>
    </row>
    <row r="58" spans="2:13" x14ac:dyDescent="0.2">
      <c r="B58" s="59"/>
      <c r="C58" s="14"/>
      <c r="D58" s="15"/>
      <c r="E58" s="15"/>
      <c r="F58" s="16"/>
      <c r="G58" s="25"/>
    </row>
    <row r="59" spans="2:13" x14ac:dyDescent="0.2">
      <c r="B59" s="78"/>
      <c r="C59" s="14"/>
      <c r="D59" s="22"/>
      <c r="E59" s="23"/>
      <c r="F59" s="16"/>
      <c r="G59" s="25"/>
    </row>
    <row r="60" spans="2:13" x14ac:dyDescent="0.2">
      <c r="B60" s="59"/>
      <c r="C60" s="14"/>
      <c r="D60" s="15"/>
      <c r="E60" s="26"/>
      <c r="F60" s="16"/>
      <c r="G60" s="25"/>
    </row>
    <row r="61" spans="2:13" x14ac:dyDescent="0.2">
      <c r="B61" s="59"/>
      <c r="C61" s="14"/>
      <c r="D61" s="22"/>
      <c r="E61" s="26"/>
      <c r="F61" s="16"/>
      <c r="G61" s="25"/>
    </row>
    <row r="62" spans="2:13" x14ac:dyDescent="0.2">
      <c r="B62" s="59"/>
      <c r="C62" s="14"/>
      <c r="D62" s="22"/>
      <c r="E62" s="26"/>
      <c r="F62" s="16"/>
      <c r="G62" s="25"/>
    </row>
    <row r="63" spans="2:13" x14ac:dyDescent="0.2">
      <c r="B63" s="59"/>
      <c r="C63" s="14"/>
      <c r="D63" s="15"/>
      <c r="E63" s="26"/>
      <c r="F63" s="16"/>
      <c r="G63" s="25" t="str">
        <f>IF(D63="","",E63*F63)</f>
        <v/>
      </c>
    </row>
    <row r="64" spans="2:13" s="30" customFormat="1" ht="19.5" customHeight="1" x14ac:dyDescent="0.2">
      <c r="B64" s="121" t="str">
        <f>$B$11</f>
        <v>C11.1</v>
      </c>
      <c r="C64" s="32" t="s">
        <v>700</v>
      </c>
      <c r="D64" s="33"/>
      <c r="E64" s="34"/>
      <c r="F64" s="33"/>
      <c r="G64" s="352">
        <f>SUM(G10:G63)</f>
        <v>0</v>
      </c>
      <c r="H64" s="36"/>
      <c r="K64" s="35" t="e">
        <f>SUM(K10:K63)</f>
        <v>#NAME?</v>
      </c>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36D89B2-F863-4E7F-A7D4-99E685709535}">
            <xm:f>AND(Information!$C$8=FALSE,$D62&lt;&gt;"P C Sum",$D62&lt;&gt;"PC Sum",$D62&lt;&gt;"P Sum",$D62&lt;&gt;"Prov Sum")</xm:f>
            <x14:dxf>
              <font>
                <strike val="0"/>
                <color theme="0"/>
              </font>
              <numFmt numFmtId="4" formatCode="#,##0.00"/>
            </x14:dxf>
          </x14:cfRule>
          <xm:sqref>F62:G63</xm:sqref>
        </x14:conditionalFormatting>
        <x14:conditionalFormatting xmlns:xm="http://schemas.microsoft.com/office/excel/2006/main">
          <x14:cfRule type="expression" priority="2" id="{47387C80-94FD-410A-A449-65ACA3B20922}">
            <xm:f>AND(Information!$C$8=FALSE,$D64&lt;&gt;"P C Sum",$D64&lt;&gt;"PC Sum",$D64&lt;&gt;"P Sum",$D64&lt;&gt;"Prov Sum")</xm:f>
            <x14:dxf>
              <font>
                <strike val="0"/>
                <color theme="0"/>
              </font>
              <numFmt numFmtId="4" formatCode="#,##0.00"/>
            </x14:dxf>
          </x14:cfRule>
          <xm:sqref>G64</xm:sqref>
        </x14:conditionalFormatting>
        <x14:conditionalFormatting xmlns:xm="http://schemas.microsoft.com/office/excel/2006/main">
          <x14:cfRule type="expression" priority="1" id="{02E52E8F-96E2-4B85-B5A8-1854B4A19A26}">
            <xm:f>AND(Information!$C$8=FALSE,$D11&lt;&gt;"P C Sum",$D11&lt;&gt;"PC Sum",$D11&lt;&gt;"P Sum",$D11&lt;&gt;"Prov Sum")</xm:f>
            <x14:dxf>
              <font>
                <strike val="0"/>
                <color theme="0"/>
              </font>
              <numFmt numFmtId="4" formatCode="#,##0.00"/>
            </x14:dxf>
          </x14:cfRule>
          <xm:sqref>F11:G61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462A-7895-4B7C-AF5D-3C5564305922}">
  <sheetPr codeName="Sheet82">
    <tabColor rgb="FF00B050"/>
  </sheetPr>
  <dimension ref="B1:M60"/>
  <sheetViews>
    <sheetView view="pageBreakPreview" topLeftCell="B44" zoomScaleNormal="125" zoomScaleSheetLayoutView="100" zoomScalePageLayoutView="125" workbookViewId="0">
      <selection activeCell="F24" sqref="F24"/>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13.42578125" style="1" bestFit="1" customWidth="1"/>
    <col min="12" max="16384" width="8.85546875" style="1"/>
  </cols>
  <sheetData>
    <row r="1" spans="2:13" x14ac:dyDescent="0.2">
      <c r="G1" s="166">
        <f>MAX(G9:G500)</f>
        <v>0</v>
      </c>
    </row>
    <row r="2" spans="2:13" x14ac:dyDescent="0.2">
      <c r="B2" s="2" t="str">
        <f>Client1</f>
        <v>Province of KwaZulu-Natal</v>
      </c>
      <c r="E2" s="703" t="str">
        <f>"Contract No. "&amp;ContractNo</f>
        <v>Contract No. ZNB02287/00000/00/MET/INF/24/T</v>
      </c>
      <c r="F2" s="703"/>
      <c r="G2" s="703"/>
      <c r="J2" s="293"/>
      <c r="K2" s="293" t="e">
        <f>MAX(K3:K245)</f>
        <v>#NAME?</v>
      </c>
      <c r="L2" s="293"/>
      <c r="M2" s="294"/>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8</v>
      </c>
      <c r="C5" s="699"/>
      <c r="D5" s="699"/>
      <c r="E5" s="699"/>
      <c r="F5" s="699"/>
      <c r="G5" s="695" t="str">
        <f>"CHAPTER "&amp;B11</f>
        <v>CHAPTER C11.2</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s="9" customFormat="1" ht="7.5" customHeight="1" x14ac:dyDescent="0.2">
      <c r="B8" s="693"/>
      <c r="C8" s="694"/>
      <c r="D8" s="694"/>
      <c r="E8" s="694"/>
      <c r="F8" s="694"/>
      <c r="G8" s="69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573"/>
      <c r="G10" s="574" t="str">
        <f t="shared" ref="G10:G51" si="0">IF(D10="","",E10*F10)</f>
        <v/>
      </c>
      <c r="H10" s="18"/>
      <c r="J10" s="16"/>
      <c r="K10" s="16"/>
      <c r="L10" s="16"/>
      <c r="M10" s="16"/>
    </row>
    <row r="11" spans="2:13" x14ac:dyDescent="0.2">
      <c r="B11" s="47" t="s">
        <v>316</v>
      </c>
      <c r="C11" s="20" t="s">
        <v>317</v>
      </c>
      <c r="D11" s="15"/>
      <c r="E11" s="15"/>
      <c r="F11" s="573"/>
      <c r="G11" s="575" t="str">
        <f t="shared" si="0"/>
        <v/>
      </c>
      <c r="H11" s="18"/>
      <c r="J11" s="41"/>
      <c r="K11" s="41"/>
      <c r="L11" s="41"/>
      <c r="M11" s="41"/>
    </row>
    <row r="12" spans="2:13" x14ac:dyDescent="0.2">
      <c r="B12" s="51"/>
      <c r="C12" s="14"/>
      <c r="D12" s="15"/>
      <c r="E12" s="15"/>
      <c r="F12" s="573"/>
      <c r="G12" s="575" t="str">
        <f t="shared" si="0"/>
        <v/>
      </c>
      <c r="H12" s="18"/>
      <c r="J12" s="41"/>
      <c r="K12" s="41"/>
      <c r="L12" s="41"/>
      <c r="M12" s="41"/>
    </row>
    <row r="13" spans="2:13" x14ac:dyDescent="0.2">
      <c r="B13" s="51" t="s">
        <v>213</v>
      </c>
      <c r="C13" s="14" t="s">
        <v>174</v>
      </c>
      <c r="D13" s="15"/>
      <c r="E13" s="15"/>
      <c r="F13" s="573"/>
      <c r="G13" s="575" t="str">
        <f t="shared" si="0"/>
        <v/>
      </c>
      <c r="H13" s="18"/>
      <c r="J13" s="24"/>
      <c r="K13" s="46" t="str">
        <f t="shared" ref="K13:K50" si="1">IF(J13="","",J13*E13)</f>
        <v/>
      </c>
      <c r="L13" s="24"/>
      <c r="M13" s="24"/>
    </row>
    <row r="14" spans="2:13" x14ac:dyDescent="0.2">
      <c r="B14" s="51"/>
      <c r="C14" s="14"/>
      <c r="D14" s="15"/>
      <c r="E14" s="15"/>
      <c r="F14" s="573"/>
      <c r="G14" s="575" t="str">
        <f t="shared" si="0"/>
        <v/>
      </c>
      <c r="H14" s="18"/>
      <c r="J14" s="41"/>
      <c r="K14" s="46" t="str">
        <f t="shared" si="1"/>
        <v/>
      </c>
      <c r="L14" s="41"/>
      <c r="M14" s="41"/>
    </row>
    <row r="15" spans="2:13" ht="25.5" x14ac:dyDescent="0.2">
      <c r="B15" s="59" t="s">
        <v>212</v>
      </c>
      <c r="C15" s="14" t="s">
        <v>173</v>
      </c>
      <c r="D15" s="15"/>
      <c r="E15" s="15"/>
      <c r="F15" s="573"/>
      <c r="G15" s="575" t="str">
        <f t="shared" si="0"/>
        <v/>
      </c>
      <c r="H15" s="18"/>
      <c r="J15" s="41"/>
      <c r="K15" s="46" t="str">
        <f t="shared" si="1"/>
        <v/>
      </c>
      <c r="L15" s="41"/>
      <c r="M15" s="41"/>
    </row>
    <row r="16" spans="2:13" x14ac:dyDescent="0.2">
      <c r="B16" s="59"/>
      <c r="C16" s="14"/>
      <c r="D16" s="15"/>
      <c r="E16" s="26"/>
      <c r="F16" s="573"/>
      <c r="G16" s="575" t="str">
        <f t="shared" si="0"/>
        <v/>
      </c>
      <c r="H16" s="18"/>
      <c r="J16" s="41"/>
      <c r="K16" s="46" t="str">
        <f t="shared" si="1"/>
        <v/>
      </c>
      <c r="L16" s="41"/>
      <c r="M16" s="41"/>
    </row>
    <row r="17" spans="2:13" x14ac:dyDescent="0.2">
      <c r="B17" s="51" t="s">
        <v>34</v>
      </c>
      <c r="C17" s="14" t="s">
        <v>211</v>
      </c>
      <c r="D17" s="22" t="s">
        <v>168</v>
      </c>
      <c r="E17" s="26">
        <v>460</v>
      </c>
      <c r="F17" s="573"/>
      <c r="G17" s="575">
        <f t="shared" si="0"/>
        <v>0</v>
      </c>
      <c r="H17" s="18"/>
      <c r="J17" s="41">
        <f>_Excavation</f>
        <v>0</v>
      </c>
      <c r="K17" s="46">
        <f t="shared" si="1"/>
        <v>0</v>
      </c>
      <c r="L17" s="41"/>
      <c r="M17" s="41"/>
    </row>
    <row r="18" spans="2:13" hidden="1" x14ac:dyDescent="0.2">
      <c r="B18" s="59"/>
      <c r="C18" s="14"/>
      <c r="D18" s="15"/>
      <c r="E18" s="26"/>
      <c r="F18" s="573"/>
      <c r="G18" s="575" t="str">
        <f t="shared" si="0"/>
        <v/>
      </c>
      <c r="H18" s="60"/>
      <c r="J18" s="41"/>
      <c r="K18" s="46" t="str">
        <f t="shared" si="1"/>
        <v/>
      </c>
      <c r="L18" s="41"/>
      <c r="M18" s="41"/>
    </row>
    <row r="19" spans="2:13" hidden="1" x14ac:dyDescent="0.2">
      <c r="B19" s="51" t="s">
        <v>35</v>
      </c>
      <c r="C19" s="28" t="s">
        <v>210</v>
      </c>
      <c r="D19" s="22" t="s">
        <v>181</v>
      </c>
      <c r="E19" s="26">
        <v>0</v>
      </c>
      <c r="F19" s="573"/>
      <c r="G19" s="575">
        <f t="shared" si="0"/>
        <v>0</v>
      </c>
      <c r="H19" s="63"/>
      <c r="J19" s="41"/>
      <c r="K19" s="46" t="str">
        <f t="shared" si="1"/>
        <v/>
      </c>
      <c r="L19" s="41"/>
      <c r="M19" s="41"/>
    </row>
    <row r="20" spans="2:13" hidden="1" x14ac:dyDescent="0.2">
      <c r="B20" s="59"/>
      <c r="C20" s="27"/>
      <c r="D20" s="61"/>
      <c r="E20" s="26"/>
      <c r="F20" s="573"/>
      <c r="G20" s="575" t="str">
        <f t="shared" si="0"/>
        <v/>
      </c>
      <c r="H20" s="63"/>
      <c r="J20" s="41"/>
      <c r="K20" s="46" t="str">
        <f t="shared" si="1"/>
        <v/>
      </c>
      <c r="L20" s="41"/>
      <c r="M20" s="41"/>
    </row>
    <row r="21" spans="2:13" hidden="1" x14ac:dyDescent="0.2">
      <c r="B21" s="51" t="s">
        <v>40</v>
      </c>
      <c r="C21" s="14" t="s">
        <v>209</v>
      </c>
      <c r="D21" s="22" t="s">
        <v>168</v>
      </c>
      <c r="E21" s="26">
        <v>0</v>
      </c>
      <c r="F21" s="573"/>
      <c r="G21" s="575">
        <f t="shared" si="0"/>
        <v>0</v>
      </c>
      <c r="H21" s="63"/>
      <c r="J21" s="41"/>
      <c r="K21" s="46" t="str">
        <f t="shared" si="1"/>
        <v/>
      </c>
      <c r="L21" s="41"/>
      <c r="M21" s="41"/>
    </row>
    <row r="22" spans="2:13" x14ac:dyDescent="0.2">
      <c r="B22" s="59"/>
      <c r="C22" s="27"/>
      <c r="D22" s="61"/>
      <c r="E22" s="26"/>
      <c r="F22" s="573"/>
      <c r="G22" s="575" t="str">
        <f t="shared" si="0"/>
        <v/>
      </c>
      <c r="H22" s="63"/>
      <c r="J22" s="41"/>
      <c r="K22" s="46" t="str">
        <f t="shared" si="1"/>
        <v/>
      </c>
      <c r="L22" s="41"/>
      <c r="M22" s="41"/>
    </row>
    <row r="23" spans="2:13" ht="25.5" x14ac:dyDescent="0.2">
      <c r="B23" s="51" t="s">
        <v>208</v>
      </c>
      <c r="C23" s="14" t="s">
        <v>172</v>
      </c>
      <c r="D23" s="22" t="s">
        <v>168</v>
      </c>
      <c r="E23" s="391">
        <v>46</v>
      </c>
      <c r="F23" s="573"/>
      <c r="G23" s="575">
        <f t="shared" si="0"/>
        <v>0</v>
      </c>
      <c r="H23" s="63"/>
      <c r="J23" s="41"/>
      <c r="K23" s="46" t="str">
        <f t="shared" si="1"/>
        <v/>
      </c>
      <c r="L23" s="41"/>
      <c r="M23" s="41"/>
    </row>
    <row r="24" spans="2:13" x14ac:dyDescent="0.2">
      <c r="B24" s="59"/>
      <c r="C24" s="14"/>
      <c r="D24" s="15"/>
      <c r="E24" s="391"/>
      <c r="F24" s="573"/>
      <c r="G24" s="575" t="str">
        <f t="shared" si="0"/>
        <v/>
      </c>
      <c r="H24" s="63"/>
      <c r="J24" s="41"/>
      <c r="K24" s="46" t="str">
        <f t="shared" si="1"/>
        <v/>
      </c>
      <c r="L24" s="41"/>
      <c r="M24" s="41"/>
    </row>
    <row r="25" spans="2:13" ht="38.25" x14ac:dyDescent="0.2">
      <c r="B25" s="51" t="s">
        <v>207</v>
      </c>
      <c r="C25" s="28" t="s">
        <v>206</v>
      </c>
      <c r="D25" s="22" t="s">
        <v>168</v>
      </c>
      <c r="E25" s="391">
        <v>180</v>
      </c>
      <c r="F25" s="573"/>
      <c r="G25" s="575">
        <f t="shared" si="0"/>
        <v>0</v>
      </c>
      <c r="H25" s="18"/>
      <c r="J25" s="41">
        <f>_Excavation</f>
        <v>0</v>
      </c>
      <c r="K25" s="46">
        <f t="shared" si="1"/>
        <v>0</v>
      </c>
      <c r="L25" s="41"/>
      <c r="M25" s="41"/>
    </row>
    <row r="26" spans="2:13" x14ac:dyDescent="0.2">
      <c r="B26" s="59"/>
      <c r="C26" s="14"/>
      <c r="D26" s="15"/>
      <c r="E26" s="26"/>
      <c r="F26" s="573"/>
      <c r="G26" s="575" t="str">
        <f t="shared" si="0"/>
        <v/>
      </c>
      <c r="H26" s="18"/>
      <c r="J26" s="41"/>
      <c r="K26" s="46" t="str">
        <f t="shared" si="1"/>
        <v/>
      </c>
      <c r="L26" s="41"/>
      <c r="M26" s="41"/>
    </row>
    <row r="27" spans="2:13" ht="38.25" hidden="1" x14ac:dyDescent="0.2">
      <c r="B27" s="51" t="s">
        <v>205</v>
      </c>
      <c r="C27" s="14" t="s">
        <v>204</v>
      </c>
      <c r="D27" s="22" t="s">
        <v>168</v>
      </c>
      <c r="E27" s="26">
        <v>0</v>
      </c>
      <c r="F27" s="573"/>
      <c r="G27" s="575">
        <f t="shared" si="0"/>
        <v>0</v>
      </c>
      <c r="H27" s="58"/>
      <c r="J27" s="41">
        <f>_Excavation</f>
        <v>0</v>
      </c>
      <c r="K27" s="46">
        <f t="shared" si="1"/>
        <v>0</v>
      </c>
      <c r="L27" s="41"/>
      <c r="M27" s="41"/>
    </row>
    <row r="28" spans="2:13" hidden="1" x14ac:dyDescent="0.2">
      <c r="B28" s="59"/>
      <c r="C28" s="14"/>
      <c r="D28" s="15"/>
      <c r="E28" s="26"/>
      <c r="F28" s="573"/>
      <c r="G28" s="575" t="str">
        <f t="shared" si="0"/>
        <v/>
      </c>
      <c r="H28" s="18"/>
      <c r="J28" s="41"/>
      <c r="K28" s="46" t="str">
        <f t="shared" si="1"/>
        <v/>
      </c>
      <c r="L28" s="41"/>
      <c r="M28" s="41"/>
    </row>
    <row r="29" spans="2:13" ht="25.5" x14ac:dyDescent="0.2">
      <c r="B29" s="51" t="s">
        <v>203</v>
      </c>
      <c r="C29" s="14" t="s">
        <v>202</v>
      </c>
      <c r="D29" s="22" t="s">
        <v>167</v>
      </c>
      <c r="E29" s="26">
        <v>380</v>
      </c>
      <c r="F29" s="573"/>
      <c r="G29" s="575">
        <f t="shared" si="0"/>
        <v>0</v>
      </c>
      <c r="H29" s="18"/>
      <c r="J29" s="41">
        <f>_Excavation*10%</f>
        <v>0</v>
      </c>
      <c r="K29" s="46">
        <f t="shared" si="1"/>
        <v>0</v>
      </c>
      <c r="L29" s="41"/>
      <c r="M29" s="41"/>
    </row>
    <row r="30" spans="2:13" x14ac:dyDescent="0.2">
      <c r="B30" s="59"/>
      <c r="C30" s="14"/>
      <c r="D30" s="15"/>
      <c r="E30" s="26"/>
      <c r="F30" s="573"/>
      <c r="G30" s="575" t="str">
        <f t="shared" si="0"/>
        <v/>
      </c>
      <c r="H30" s="18"/>
      <c r="J30" s="41"/>
      <c r="K30" s="46" t="str">
        <f t="shared" si="1"/>
        <v/>
      </c>
      <c r="L30" s="41"/>
      <c r="M30" s="41"/>
    </row>
    <row r="31" spans="2:13" x14ac:dyDescent="0.2">
      <c r="B31" s="51" t="s">
        <v>201</v>
      </c>
      <c r="C31" s="14" t="s">
        <v>200</v>
      </c>
      <c r="D31" s="22"/>
      <c r="E31" s="26"/>
      <c r="F31" s="573"/>
      <c r="G31" s="575" t="str">
        <f t="shared" si="0"/>
        <v/>
      </c>
      <c r="H31" s="18"/>
      <c r="J31" s="41"/>
      <c r="K31" s="46" t="str">
        <f t="shared" si="1"/>
        <v/>
      </c>
      <c r="L31" s="41"/>
      <c r="M31" s="41"/>
    </row>
    <row r="32" spans="2:13" x14ac:dyDescent="0.2">
      <c r="B32" s="59"/>
      <c r="C32" s="14"/>
      <c r="D32" s="15"/>
      <c r="E32" s="26"/>
      <c r="F32" s="573"/>
      <c r="G32" s="575" t="str">
        <f t="shared" si="0"/>
        <v/>
      </c>
      <c r="H32" s="18"/>
      <c r="J32" s="41"/>
      <c r="K32" s="46" t="str">
        <f t="shared" si="1"/>
        <v/>
      </c>
      <c r="L32" s="41"/>
      <c r="M32" s="41"/>
    </row>
    <row r="33" spans="2:13" x14ac:dyDescent="0.2">
      <c r="B33" s="51" t="s">
        <v>1000</v>
      </c>
      <c r="C33" s="28" t="s">
        <v>1001</v>
      </c>
      <c r="D33" s="22"/>
      <c r="E33" s="26"/>
      <c r="F33" s="573"/>
      <c r="G33" s="575" t="str">
        <f t="shared" si="0"/>
        <v/>
      </c>
      <c r="H33" s="58"/>
      <c r="J33" s="41"/>
      <c r="K33" s="46" t="str">
        <f t="shared" si="1"/>
        <v/>
      </c>
      <c r="L33" s="41"/>
      <c r="M33" s="41"/>
    </row>
    <row r="34" spans="2:13" x14ac:dyDescent="0.2">
      <c r="B34" s="51"/>
      <c r="C34" s="120"/>
      <c r="D34" s="22"/>
      <c r="E34" s="26"/>
      <c r="F34" s="573"/>
      <c r="G34" s="575" t="str">
        <f t="shared" si="0"/>
        <v/>
      </c>
      <c r="H34" s="58"/>
      <c r="J34" s="41"/>
      <c r="K34" s="46" t="str">
        <f t="shared" si="1"/>
        <v/>
      </c>
      <c r="L34" s="41"/>
      <c r="M34" s="41"/>
    </row>
    <row r="35" spans="2:13" ht="36" x14ac:dyDescent="0.2">
      <c r="B35" s="51"/>
      <c r="C35" s="156" t="s">
        <v>403</v>
      </c>
      <c r="D35" s="157" t="s">
        <v>181</v>
      </c>
      <c r="E35" s="26">
        <v>720</v>
      </c>
      <c r="F35" s="573"/>
      <c r="G35" s="575">
        <f t="shared" si="0"/>
        <v>0</v>
      </c>
      <c r="H35" s="58"/>
      <c r="J35" s="338" t="e">
        <f>_Gabion</f>
        <v>#NAME?</v>
      </c>
      <c r="K35" s="46" t="e">
        <f t="shared" si="1"/>
        <v>#NAME?</v>
      </c>
      <c r="L35" s="41"/>
      <c r="M35" s="41"/>
    </row>
    <row r="36" spans="2:13" x14ac:dyDescent="0.2">
      <c r="B36" s="59"/>
      <c r="C36" s="14"/>
      <c r="D36" s="15"/>
      <c r="E36" s="15"/>
      <c r="F36" s="573"/>
      <c r="G36" s="575" t="str">
        <f t="shared" si="0"/>
        <v/>
      </c>
      <c r="H36" s="18"/>
      <c r="J36" s="41"/>
      <c r="K36" s="46" t="str">
        <f t="shared" si="1"/>
        <v/>
      </c>
      <c r="L36" s="41"/>
      <c r="M36" s="41"/>
    </row>
    <row r="37" spans="2:13" x14ac:dyDescent="0.2">
      <c r="B37" s="51" t="s">
        <v>1002</v>
      </c>
      <c r="C37" s="14" t="s">
        <v>1003</v>
      </c>
      <c r="D37" s="22"/>
      <c r="E37" s="15"/>
      <c r="F37" s="573"/>
      <c r="G37" s="575" t="str">
        <f t="shared" si="0"/>
        <v/>
      </c>
      <c r="H37" s="18"/>
      <c r="J37" s="41"/>
      <c r="K37" s="46" t="str">
        <f t="shared" si="1"/>
        <v/>
      </c>
      <c r="L37" s="41"/>
      <c r="M37" s="41"/>
    </row>
    <row r="38" spans="2:13" x14ac:dyDescent="0.2">
      <c r="B38" s="51"/>
      <c r="C38" s="14"/>
      <c r="D38" s="22"/>
      <c r="E38" s="15"/>
      <c r="F38" s="573"/>
      <c r="G38" s="575" t="str">
        <f t="shared" si="0"/>
        <v/>
      </c>
      <c r="H38" s="18"/>
      <c r="J38" s="41"/>
      <c r="K38" s="46" t="str">
        <f t="shared" si="1"/>
        <v/>
      </c>
      <c r="L38" s="41"/>
      <c r="M38" s="41"/>
    </row>
    <row r="39" spans="2:13" ht="36" x14ac:dyDescent="0.2">
      <c r="B39" s="51"/>
      <c r="C39" s="156" t="s">
        <v>404</v>
      </c>
      <c r="D39" s="157" t="s">
        <v>181</v>
      </c>
      <c r="E39" s="15">
        <v>240</v>
      </c>
      <c r="F39" s="573"/>
      <c r="G39" s="575">
        <f t="shared" si="0"/>
        <v>0</v>
      </c>
      <c r="H39" s="18"/>
      <c r="J39" s="338" t="e">
        <f>_Gabion</f>
        <v>#NAME?</v>
      </c>
      <c r="K39" s="46" t="e">
        <f t="shared" si="1"/>
        <v>#NAME?</v>
      </c>
      <c r="L39" s="41"/>
      <c r="M39" s="41"/>
    </row>
    <row r="40" spans="2:13" x14ac:dyDescent="0.2">
      <c r="B40" s="51"/>
      <c r="C40" s="14"/>
      <c r="D40" s="22"/>
      <c r="E40" s="15"/>
      <c r="F40" s="573"/>
      <c r="G40" s="575" t="str">
        <f t="shared" si="0"/>
        <v/>
      </c>
      <c r="H40" s="18"/>
      <c r="J40" s="41"/>
      <c r="K40" s="46" t="str">
        <f t="shared" si="1"/>
        <v/>
      </c>
      <c r="L40" s="41"/>
      <c r="M40" s="41"/>
    </row>
    <row r="41" spans="2:13" x14ac:dyDescent="0.2">
      <c r="B41" s="59"/>
      <c r="C41" s="14"/>
      <c r="D41" s="15"/>
      <c r="E41" s="15"/>
      <c r="F41" s="573"/>
      <c r="G41" s="575" t="str">
        <f t="shared" si="0"/>
        <v/>
      </c>
      <c r="H41" s="18"/>
      <c r="J41" s="41"/>
      <c r="K41" s="46" t="str">
        <f t="shared" si="1"/>
        <v/>
      </c>
      <c r="L41" s="41"/>
      <c r="M41" s="41"/>
    </row>
    <row r="42" spans="2:13" ht="25.5" x14ac:dyDescent="0.2">
      <c r="B42" s="51" t="s">
        <v>199</v>
      </c>
      <c r="C42" s="14" t="s">
        <v>405</v>
      </c>
      <c r="D42" s="22" t="s">
        <v>167</v>
      </c>
      <c r="E42" s="15">
        <v>1280</v>
      </c>
      <c r="F42" s="573"/>
      <c r="G42" s="575">
        <f t="shared" si="0"/>
        <v>0</v>
      </c>
      <c r="H42" s="18"/>
      <c r="J42" s="41">
        <f>_Geofabric</f>
        <v>0</v>
      </c>
      <c r="K42" s="46">
        <f t="shared" si="1"/>
        <v>0</v>
      </c>
      <c r="L42" s="41"/>
      <c r="M42" s="41"/>
    </row>
    <row r="43" spans="2:13" x14ac:dyDescent="0.2">
      <c r="B43" s="51"/>
      <c r="C43" s="14"/>
      <c r="D43" s="22"/>
      <c r="E43" s="15"/>
      <c r="F43" s="573"/>
      <c r="G43" s="575" t="str">
        <f t="shared" si="0"/>
        <v/>
      </c>
      <c r="H43" s="18"/>
      <c r="J43" s="41"/>
      <c r="K43" s="46" t="str">
        <f t="shared" si="1"/>
        <v/>
      </c>
      <c r="L43" s="41"/>
      <c r="M43" s="41"/>
    </row>
    <row r="44" spans="2:13" x14ac:dyDescent="0.2">
      <c r="B44" s="51"/>
      <c r="C44" s="14"/>
      <c r="D44" s="22"/>
      <c r="E44" s="15"/>
      <c r="F44" s="573"/>
      <c r="G44" s="575" t="str">
        <f t="shared" si="0"/>
        <v/>
      </c>
      <c r="H44" s="18"/>
      <c r="J44" s="41"/>
      <c r="K44" s="46" t="str">
        <f t="shared" si="1"/>
        <v/>
      </c>
      <c r="L44" s="41"/>
      <c r="M44" s="41"/>
    </row>
    <row r="45" spans="2:13" x14ac:dyDescent="0.2">
      <c r="B45" s="51"/>
      <c r="C45" s="14"/>
      <c r="D45" s="22"/>
      <c r="E45" s="15"/>
      <c r="F45" s="573"/>
      <c r="G45" s="575" t="str">
        <f t="shared" si="0"/>
        <v/>
      </c>
      <c r="H45" s="18"/>
      <c r="J45" s="41"/>
      <c r="K45" s="46" t="str">
        <f t="shared" si="1"/>
        <v/>
      </c>
      <c r="L45" s="41"/>
      <c r="M45" s="41"/>
    </row>
    <row r="46" spans="2:13" x14ac:dyDescent="0.2">
      <c r="B46" s="51"/>
      <c r="C46" s="14"/>
      <c r="D46" s="22"/>
      <c r="E46" s="15"/>
      <c r="F46" s="573"/>
      <c r="G46" s="575" t="str">
        <f t="shared" si="0"/>
        <v/>
      </c>
      <c r="H46" s="18"/>
      <c r="J46" s="41"/>
      <c r="K46" s="46" t="str">
        <f t="shared" si="1"/>
        <v/>
      </c>
      <c r="L46" s="41"/>
      <c r="M46" s="41"/>
    </row>
    <row r="47" spans="2:13" x14ac:dyDescent="0.2">
      <c r="B47" s="51"/>
      <c r="C47" s="14"/>
      <c r="D47" s="22"/>
      <c r="E47" s="15"/>
      <c r="F47" s="573"/>
      <c r="G47" s="575" t="str">
        <f t="shared" si="0"/>
        <v/>
      </c>
      <c r="H47" s="18"/>
      <c r="J47" s="1">
        <f>_Backfill</f>
        <v>0</v>
      </c>
      <c r="K47" s="46">
        <f t="shared" si="1"/>
        <v>0</v>
      </c>
    </row>
    <row r="48" spans="2:13" x14ac:dyDescent="0.2">
      <c r="B48" s="51"/>
      <c r="C48" s="14"/>
      <c r="D48" s="22"/>
      <c r="E48" s="15"/>
      <c r="F48" s="573"/>
      <c r="G48" s="575" t="str">
        <f t="shared" si="0"/>
        <v/>
      </c>
      <c r="H48" s="18"/>
      <c r="K48" s="46" t="str">
        <f t="shared" si="1"/>
        <v/>
      </c>
    </row>
    <row r="49" spans="2:11" x14ac:dyDescent="0.2">
      <c r="B49" s="51"/>
      <c r="C49" s="14"/>
      <c r="D49" s="22"/>
      <c r="E49" s="15"/>
      <c r="F49" s="573"/>
      <c r="G49" s="575" t="str">
        <f t="shared" si="0"/>
        <v/>
      </c>
      <c r="H49" s="18"/>
      <c r="K49" s="46" t="str">
        <f t="shared" si="1"/>
        <v/>
      </c>
    </row>
    <row r="50" spans="2:11" x14ac:dyDescent="0.2">
      <c r="B50" s="51"/>
      <c r="C50" s="14"/>
      <c r="D50" s="22"/>
      <c r="E50" s="15"/>
      <c r="F50" s="573"/>
      <c r="G50" s="575" t="str">
        <f t="shared" si="0"/>
        <v/>
      </c>
      <c r="H50" s="18"/>
      <c r="J50" s="1">
        <f>_Place</f>
        <v>0</v>
      </c>
      <c r="K50" s="46">
        <f t="shared" si="1"/>
        <v>0</v>
      </c>
    </row>
    <row r="51" spans="2:11" x14ac:dyDescent="0.2">
      <c r="B51" s="51"/>
      <c r="C51" s="14"/>
      <c r="D51" s="22"/>
      <c r="E51" s="15"/>
      <c r="F51" s="573"/>
      <c r="G51" s="575" t="str">
        <f t="shared" si="0"/>
        <v/>
      </c>
      <c r="H51" s="18"/>
    </row>
    <row r="52" spans="2:11" x14ac:dyDescent="0.2">
      <c r="B52" s="51"/>
      <c r="C52" s="14"/>
      <c r="D52" s="22"/>
      <c r="E52" s="15"/>
      <c r="F52" s="573"/>
      <c r="G52" s="575" t="str">
        <f>IF(D52="","",E52*F52)</f>
        <v/>
      </c>
      <c r="H52" s="18"/>
    </row>
    <row r="53" spans="2:11" x14ac:dyDescent="0.2">
      <c r="B53" s="51"/>
      <c r="C53" s="14"/>
      <c r="D53" s="22"/>
      <c r="E53" s="15"/>
      <c r="F53" s="573"/>
      <c r="G53" s="575" t="str">
        <f>IF(D53="","",E53*F53)</f>
        <v/>
      </c>
      <c r="H53" s="18"/>
    </row>
    <row r="54" spans="2:11" x14ac:dyDescent="0.2">
      <c r="B54" s="51"/>
      <c r="C54" s="14"/>
      <c r="D54" s="22"/>
      <c r="E54" s="15"/>
      <c r="F54" s="573"/>
      <c r="G54" s="575" t="str">
        <f>IF(D54="","",E54*F54)</f>
        <v/>
      </c>
      <c r="H54" s="18"/>
    </row>
    <row r="55" spans="2:11" x14ac:dyDescent="0.2">
      <c r="B55" s="51"/>
      <c r="C55" s="14"/>
      <c r="D55" s="22"/>
      <c r="E55" s="15"/>
      <c r="F55" s="573"/>
      <c r="G55" s="575" t="str">
        <f>IF(D55="","",E55*F55)</f>
        <v/>
      </c>
      <c r="H55" s="18"/>
    </row>
    <row r="56" spans="2:11" x14ac:dyDescent="0.2">
      <c r="B56" s="51"/>
      <c r="C56" s="14"/>
      <c r="D56" s="22"/>
      <c r="E56" s="15"/>
      <c r="F56" s="573"/>
      <c r="G56" s="575" t="str">
        <f>IF(D56="","",E56*F56)</f>
        <v/>
      </c>
      <c r="H56" s="18"/>
    </row>
    <row r="57" spans="2:11" x14ac:dyDescent="0.2">
      <c r="B57" s="51"/>
      <c r="C57" s="14"/>
      <c r="D57" s="22"/>
      <c r="E57" s="15"/>
      <c r="F57" s="573"/>
      <c r="G57" s="575"/>
      <c r="H57" s="18"/>
    </row>
    <row r="58" spans="2:11" x14ac:dyDescent="0.2">
      <c r="B58" s="59"/>
      <c r="C58" s="14"/>
      <c r="D58" s="15"/>
      <c r="E58" s="15"/>
      <c r="F58" s="573"/>
      <c r="G58" s="575"/>
      <c r="H58" s="18"/>
    </row>
    <row r="59" spans="2:11" x14ac:dyDescent="0.2">
      <c r="B59" s="59"/>
      <c r="C59" s="14"/>
      <c r="D59" s="15"/>
      <c r="E59" s="15"/>
      <c r="F59" s="573"/>
      <c r="G59" s="575"/>
      <c r="H59" s="18"/>
    </row>
    <row r="60" spans="2:11" s="30" customFormat="1" ht="24.75" customHeight="1" x14ac:dyDescent="0.2">
      <c r="B60" s="77" t="str">
        <f>$B$11</f>
        <v>C11.2</v>
      </c>
      <c r="C60" s="32" t="s">
        <v>700</v>
      </c>
      <c r="D60" s="33"/>
      <c r="E60" s="34"/>
      <c r="F60" s="576"/>
      <c r="G60" s="577">
        <f>SUM(G10:G59)</f>
        <v>0</v>
      </c>
      <c r="H60" s="36"/>
      <c r="K60" s="35" t="e">
        <f>SUM(K10:K59)</f>
        <v>#NAME?</v>
      </c>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50EDD22C-6A92-4ECA-87B4-6721BB03271A}">
            <xm:f>AND(Information!$C$8=FALSE,$D58&lt;&gt;"P C Sum",$D58&lt;&gt;"PC Sum",$D58&lt;&gt;"P Sum",$D58&lt;&gt;"Prov Sum")</xm:f>
            <x14:dxf>
              <font>
                <strike val="0"/>
                <color theme="0"/>
              </font>
              <numFmt numFmtId="4" formatCode="#,##0.00"/>
            </x14:dxf>
          </x14:cfRule>
          <xm:sqref>F58:G59</xm:sqref>
        </x14:conditionalFormatting>
        <x14:conditionalFormatting xmlns:xm="http://schemas.microsoft.com/office/excel/2006/main">
          <x14:cfRule type="expression" priority="2" id="{6D774626-94BF-4391-B480-8CF38EFF9047}">
            <xm:f>AND(Information!$C$8=FALSE,$D60&lt;&gt;"P C Sum",$D60&lt;&gt;"PC Sum",$D60&lt;&gt;"P Sum",$D60&lt;&gt;"Prov Sum")</xm:f>
            <x14:dxf>
              <font>
                <strike val="0"/>
                <color theme="0"/>
              </font>
              <numFmt numFmtId="4" formatCode="#,##0.00"/>
            </x14:dxf>
          </x14:cfRule>
          <xm:sqref>G60</xm:sqref>
        </x14:conditionalFormatting>
        <x14:conditionalFormatting xmlns:xm="http://schemas.microsoft.com/office/excel/2006/main">
          <x14:cfRule type="expression" priority="1" id="{0884A215-B6B5-4993-B385-B554F4699003}">
            <xm:f>AND(Information!$C$8=FALSE,$D11&lt;&gt;"P C Sum",$D11&lt;&gt;"PC Sum",$D11&lt;&gt;"P Sum",$D11&lt;&gt;"Prov Sum")</xm:f>
            <x14:dxf>
              <font>
                <strike val="0"/>
                <color theme="0"/>
              </font>
              <numFmt numFmtId="4" formatCode="#,##0.00"/>
            </x14:dxf>
          </x14:cfRule>
          <xm:sqref>F11:G57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C861-C0FA-43DA-BF81-97A3248F017C}">
  <sheetPr>
    <tabColor rgb="FF00B050"/>
  </sheetPr>
  <dimension ref="B1:M83"/>
  <sheetViews>
    <sheetView view="pageBreakPreview" topLeftCell="A8" zoomScaleNormal="125" zoomScaleSheetLayoutView="100" zoomScalePageLayoutView="125" workbookViewId="0">
      <selection activeCell="F14" sqref="F14:F23"/>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13.42578125" style="1" bestFit="1" customWidth="1"/>
    <col min="12" max="16384" width="8.85546875" style="1"/>
  </cols>
  <sheetData>
    <row r="1" spans="2:13" x14ac:dyDescent="0.2">
      <c r="G1" s="166">
        <f>MAX(G9:G523)</f>
        <v>0</v>
      </c>
    </row>
    <row r="2" spans="2:13" x14ac:dyDescent="0.2">
      <c r="B2" s="2" t="str">
        <f>Client1</f>
        <v>Province of KwaZulu-Natal</v>
      </c>
      <c r="E2" s="703" t="str">
        <f>"Contract No. "&amp;ContractNo</f>
        <v>Contract No. ZNB02287/00000/00/MET/INF/24/T</v>
      </c>
      <c r="F2" s="703"/>
      <c r="G2" s="703"/>
      <c r="J2" s="293"/>
      <c r="K2" s="293" t="e">
        <f>MAX(K3:K268)</f>
        <v>#NAME?</v>
      </c>
      <c r="L2" s="293"/>
      <c r="M2" s="294"/>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8</v>
      </c>
      <c r="C5" s="699"/>
      <c r="D5" s="699"/>
      <c r="E5" s="699"/>
      <c r="F5" s="699"/>
      <c r="G5" s="695" t="str">
        <f>"CHAPTER "&amp;B11</f>
        <v>CHAPTER C11.3</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s="9" customFormat="1" ht="7.5" customHeight="1" x14ac:dyDescent="0.2">
      <c r="B8" s="693"/>
      <c r="C8" s="694"/>
      <c r="D8" s="694"/>
      <c r="E8" s="694"/>
      <c r="F8" s="694"/>
      <c r="G8" s="69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17" t="str">
        <f t="shared" ref="G10:G20" si="0">IF(D10="","",E10*F10)</f>
        <v/>
      </c>
      <c r="H10" s="18"/>
      <c r="J10" s="16"/>
      <c r="K10" s="16"/>
      <c r="L10" s="16"/>
      <c r="M10" s="16"/>
    </row>
    <row r="11" spans="2:13" x14ac:dyDescent="0.2">
      <c r="B11" s="47" t="s">
        <v>1005</v>
      </c>
      <c r="C11" s="20" t="s">
        <v>1004</v>
      </c>
      <c r="D11" s="15"/>
      <c r="E11" s="15"/>
      <c r="F11" s="16"/>
      <c r="G11" s="25" t="str">
        <f t="shared" si="0"/>
        <v/>
      </c>
      <c r="H11" s="18"/>
      <c r="J11" s="41"/>
      <c r="K11" s="41"/>
      <c r="L11" s="41"/>
      <c r="M11" s="41"/>
    </row>
    <row r="12" spans="2:13" x14ac:dyDescent="0.2">
      <c r="B12" s="51"/>
      <c r="C12" s="14"/>
      <c r="D12" s="15"/>
      <c r="E12" s="15"/>
      <c r="F12" s="16"/>
      <c r="G12" s="25" t="str">
        <f t="shared" si="0"/>
        <v/>
      </c>
      <c r="H12" s="18"/>
      <c r="J12" s="41"/>
      <c r="K12" s="41"/>
      <c r="L12" s="41"/>
      <c r="M12" s="41"/>
    </row>
    <row r="13" spans="2:13" x14ac:dyDescent="0.2">
      <c r="B13" s="59"/>
      <c r="C13" s="14"/>
      <c r="D13" s="15"/>
      <c r="E13" s="26"/>
      <c r="F13" s="16"/>
      <c r="G13" s="25" t="str">
        <f t="shared" si="0"/>
        <v/>
      </c>
      <c r="H13" s="18"/>
      <c r="J13" s="41"/>
      <c r="K13" s="46" t="str">
        <f t="shared" ref="K13:K73" si="1">IF(J13="","",J13*E13)</f>
        <v/>
      </c>
      <c r="L13" s="41"/>
      <c r="M13" s="41"/>
    </row>
    <row r="14" spans="2:13" x14ac:dyDescent="0.2">
      <c r="B14" s="51" t="s">
        <v>1006</v>
      </c>
      <c r="C14" s="14" t="s">
        <v>214</v>
      </c>
      <c r="D14" s="22" t="s">
        <v>33</v>
      </c>
      <c r="E14" s="26">
        <v>50</v>
      </c>
      <c r="F14" s="16"/>
      <c r="G14" s="25">
        <f t="shared" si="0"/>
        <v>0</v>
      </c>
      <c r="H14" s="18"/>
      <c r="J14" s="41">
        <f>_Excavation</f>
        <v>0</v>
      </c>
      <c r="K14" s="46">
        <f t="shared" si="1"/>
        <v>0</v>
      </c>
      <c r="L14" s="41"/>
      <c r="M14" s="41"/>
    </row>
    <row r="15" spans="2:13" hidden="1" x14ac:dyDescent="0.2">
      <c r="B15" s="59"/>
      <c r="C15" s="14"/>
      <c r="D15" s="15"/>
      <c r="E15" s="26"/>
      <c r="F15" s="16"/>
      <c r="G15" s="25" t="str">
        <f t="shared" si="0"/>
        <v/>
      </c>
      <c r="H15" s="60"/>
      <c r="J15" s="41"/>
      <c r="K15" s="46" t="str">
        <f t="shared" si="1"/>
        <v/>
      </c>
      <c r="L15" s="41"/>
      <c r="M15" s="41"/>
    </row>
    <row r="16" spans="2:13" hidden="1" x14ac:dyDescent="0.2">
      <c r="B16" s="51" t="s">
        <v>35</v>
      </c>
      <c r="C16" s="28" t="s">
        <v>210</v>
      </c>
      <c r="D16" s="22" t="s">
        <v>181</v>
      </c>
      <c r="E16" s="26">
        <v>0</v>
      </c>
      <c r="F16" s="16"/>
      <c r="G16" s="25">
        <f t="shared" si="0"/>
        <v>0</v>
      </c>
      <c r="H16" s="63"/>
      <c r="J16" s="41"/>
      <c r="K16" s="46" t="str">
        <f t="shared" si="1"/>
        <v/>
      </c>
      <c r="L16" s="41"/>
      <c r="M16" s="41"/>
    </row>
    <row r="17" spans="2:13" hidden="1" x14ac:dyDescent="0.2">
      <c r="B17" s="59"/>
      <c r="C17" s="27"/>
      <c r="D17" s="61"/>
      <c r="E17" s="26"/>
      <c r="F17" s="16"/>
      <c r="G17" s="25" t="str">
        <f t="shared" si="0"/>
        <v/>
      </c>
      <c r="H17" s="63"/>
      <c r="J17" s="41"/>
      <c r="K17" s="46" t="str">
        <f t="shared" si="1"/>
        <v/>
      </c>
      <c r="L17" s="41"/>
      <c r="M17" s="41"/>
    </row>
    <row r="18" spans="2:13" hidden="1" x14ac:dyDescent="0.2">
      <c r="B18" s="51" t="s">
        <v>40</v>
      </c>
      <c r="C18" s="14" t="s">
        <v>209</v>
      </c>
      <c r="D18" s="22" t="s">
        <v>168</v>
      </c>
      <c r="E18" s="26">
        <v>0</v>
      </c>
      <c r="F18" s="16"/>
      <c r="G18" s="25">
        <f t="shared" si="0"/>
        <v>0</v>
      </c>
      <c r="H18" s="63"/>
      <c r="J18" s="41"/>
      <c r="K18" s="46" t="str">
        <f t="shared" si="1"/>
        <v/>
      </c>
      <c r="L18" s="41"/>
      <c r="M18" s="41"/>
    </row>
    <row r="19" spans="2:13" x14ac:dyDescent="0.2">
      <c r="B19" s="59"/>
      <c r="C19" s="27"/>
      <c r="D19" s="61"/>
      <c r="E19" s="26"/>
      <c r="F19" s="16"/>
      <c r="G19" s="25" t="str">
        <f t="shared" si="0"/>
        <v/>
      </c>
      <c r="H19" s="63"/>
      <c r="J19" s="41"/>
      <c r="K19" s="46" t="str">
        <f t="shared" si="1"/>
        <v/>
      </c>
      <c r="L19" s="41"/>
      <c r="M19" s="41"/>
    </row>
    <row r="20" spans="2:13" ht="25.5" x14ac:dyDescent="0.2">
      <c r="B20" s="51" t="s">
        <v>1124</v>
      </c>
      <c r="C20" s="14" t="s">
        <v>1125</v>
      </c>
      <c r="D20" s="22" t="s">
        <v>33</v>
      </c>
      <c r="E20" s="391">
        <v>54</v>
      </c>
      <c r="F20" s="16"/>
      <c r="G20" s="25">
        <f t="shared" si="0"/>
        <v>0</v>
      </c>
      <c r="H20" s="63"/>
      <c r="J20" s="41"/>
      <c r="K20" s="46" t="str">
        <f t="shared" si="1"/>
        <v/>
      </c>
      <c r="L20" s="41"/>
      <c r="M20" s="41"/>
    </row>
    <row r="21" spans="2:13" x14ac:dyDescent="0.2">
      <c r="B21" s="59"/>
      <c r="C21" s="14"/>
      <c r="D21" s="15"/>
      <c r="E21" s="391"/>
      <c r="F21" s="16"/>
      <c r="G21" s="25"/>
      <c r="H21" s="63"/>
      <c r="J21" s="41"/>
      <c r="K21" s="46" t="str">
        <f t="shared" si="1"/>
        <v/>
      </c>
      <c r="L21" s="41"/>
      <c r="M21" s="41"/>
    </row>
    <row r="22" spans="2:13" x14ac:dyDescent="0.2">
      <c r="B22" s="51"/>
      <c r="C22" s="28"/>
      <c r="D22" s="22"/>
      <c r="E22" s="391"/>
      <c r="F22" s="16"/>
      <c r="G22" s="25"/>
      <c r="H22" s="18"/>
      <c r="J22" s="41">
        <f>_Excavation</f>
        <v>0</v>
      </c>
      <c r="K22" s="46">
        <f t="shared" si="1"/>
        <v>0</v>
      </c>
      <c r="L22" s="41"/>
      <c r="M22" s="41"/>
    </row>
    <row r="23" spans="2:13" x14ac:dyDescent="0.2">
      <c r="B23" s="59"/>
      <c r="C23" s="14"/>
      <c r="D23" s="15"/>
      <c r="E23" s="26"/>
      <c r="F23" s="16"/>
      <c r="G23" s="25"/>
      <c r="H23" s="18"/>
      <c r="J23" s="41"/>
      <c r="K23" s="46" t="str">
        <f t="shared" si="1"/>
        <v/>
      </c>
      <c r="L23" s="41"/>
      <c r="M23" s="41"/>
    </row>
    <row r="24" spans="2:13" hidden="1" x14ac:dyDescent="0.2">
      <c r="B24" s="51"/>
      <c r="C24" s="14"/>
      <c r="D24" s="22"/>
      <c r="E24" s="26"/>
      <c r="F24" s="16"/>
      <c r="G24" s="25"/>
      <c r="H24" s="58"/>
      <c r="J24" s="41">
        <f>_Excavation</f>
        <v>0</v>
      </c>
      <c r="K24" s="46">
        <f t="shared" si="1"/>
        <v>0</v>
      </c>
      <c r="L24" s="41"/>
      <c r="M24" s="41"/>
    </row>
    <row r="25" spans="2:13" hidden="1" x14ac:dyDescent="0.2">
      <c r="B25" s="59"/>
      <c r="C25" s="14"/>
      <c r="D25" s="15"/>
      <c r="E25" s="26"/>
      <c r="F25" s="16"/>
      <c r="G25" s="25"/>
      <c r="H25" s="18"/>
      <c r="J25" s="41"/>
      <c r="K25" s="46" t="str">
        <f t="shared" si="1"/>
        <v/>
      </c>
      <c r="L25" s="41"/>
      <c r="M25" s="41"/>
    </row>
    <row r="26" spans="2:13" x14ac:dyDescent="0.2">
      <c r="B26" s="51"/>
      <c r="C26" s="14"/>
      <c r="D26" s="22"/>
      <c r="E26" s="26"/>
      <c r="F26" s="16"/>
      <c r="G26" s="25"/>
      <c r="H26" s="18"/>
      <c r="J26" s="41">
        <f>_Excavation*10%</f>
        <v>0</v>
      </c>
      <c r="K26" s="46">
        <f t="shared" si="1"/>
        <v>0</v>
      </c>
      <c r="L26" s="41"/>
      <c r="M26" s="41"/>
    </row>
    <row r="27" spans="2:13" x14ac:dyDescent="0.2">
      <c r="B27" s="59"/>
      <c r="C27" s="14"/>
      <c r="D27" s="15"/>
      <c r="E27" s="26"/>
      <c r="F27" s="16"/>
      <c r="G27" s="25"/>
      <c r="H27" s="18"/>
      <c r="J27" s="41"/>
      <c r="K27" s="46" t="str">
        <f t="shared" si="1"/>
        <v/>
      </c>
      <c r="L27" s="41"/>
      <c r="M27" s="41"/>
    </row>
    <row r="28" spans="2:13" x14ac:dyDescent="0.2">
      <c r="B28" s="51"/>
      <c r="C28" s="14"/>
      <c r="D28" s="22"/>
      <c r="E28" s="26"/>
      <c r="F28" s="16"/>
      <c r="G28" s="25"/>
      <c r="H28" s="18"/>
      <c r="J28" s="41"/>
      <c r="K28" s="46" t="str">
        <f t="shared" si="1"/>
        <v/>
      </c>
      <c r="L28" s="41"/>
      <c r="M28" s="41"/>
    </row>
    <row r="29" spans="2:13" x14ac:dyDescent="0.2">
      <c r="B29" s="59"/>
      <c r="C29" s="14"/>
      <c r="D29" s="15"/>
      <c r="E29" s="26"/>
      <c r="F29" s="16"/>
      <c r="G29" s="25"/>
      <c r="H29" s="18"/>
      <c r="J29" s="41"/>
      <c r="K29" s="46" t="str">
        <f t="shared" si="1"/>
        <v/>
      </c>
      <c r="L29" s="41"/>
      <c r="M29" s="41"/>
    </row>
    <row r="30" spans="2:13" x14ac:dyDescent="0.2">
      <c r="B30" s="51"/>
      <c r="C30" s="28"/>
      <c r="D30" s="22"/>
      <c r="E30" s="26"/>
      <c r="F30" s="16"/>
      <c r="G30" s="25"/>
      <c r="H30" s="58"/>
      <c r="J30" s="41"/>
      <c r="K30" s="46" t="str">
        <f t="shared" si="1"/>
        <v/>
      </c>
      <c r="L30" s="41"/>
      <c r="M30" s="41"/>
    </row>
    <row r="31" spans="2:13" x14ac:dyDescent="0.2">
      <c r="B31" s="51"/>
      <c r="C31" s="120"/>
      <c r="D31" s="22"/>
      <c r="E31" s="26"/>
      <c r="F31" s="16"/>
      <c r="G31" s="25"/>
      <c r="H31" s="58"/>
      <c r="J31" s="41"/>
      <c r="K31" s="46" t="str">
        <f t="shared" si="1"/>
        <v/>
      </c>
      <c r="L31" s="41"/>
      <c r="M31" s="41"/>
    </row>
    <row r="32" spans="2:13" x14ac:dyDescent="0.2">
      <c r="B32" s="51"/>
      <c r="C32" s="156"/>
      <c r="D32" s="157"/>
      <c r="E32" s="26"/>
      <c r="F32" s="16"/>
      <c r="G32" s="25"/>
      <c r="H32" s="58"/>
      <c r="J32" s="338" t="e">
        <f>_Gabion</f>
        <v>#NAME?</v>
      </c>
      <c r="K32" s="46" t="e">
        <f t="shared" si="1"/>
        <v>#NAME?</v>
      </c>
      <c r="L32" s="41"/>
      <c r="M32" s="41"/>
    </row>
    <row r="33" spans="2:13" x14ac:dyDescent="0.2">
      <c r="B33" s="59"/>
      <c r="C33" s="14"/>
      <c r="D33" s="15"/>
      <c r="E33" s="15"/>
      <c r="F33" s="16"/>
      <c r="G33" s="25"/>
      <c r="H33" s="18"/>
      <c r="J33" s="41"/>
      <c r="K33" s="46" t="str">
        <f t="shared" si="1"/>
        <v/>
      </c>
      <c r="L33" s="41"/>
      <c r="M33" s="41"/>
    </row>
    <row r="34" spans="2:13" x14ac:dyDescent="0.2">
      <c r="B34" s="51"/>
      <c r="C34" s="14"/>
      <c r="D34" s="22"/>
      <c r="E34" s="15"/>
      <c r="F34" s="16"/>
      <c r="G34" s="25"/>
      <c r="H34" s="18"/>
      <c r="J34" s="41"/>
      <c r="K34" s="46" t="str">
        <f t="shared" si="1"/>
        <v/>
      </c>
      <c r="L34" s="41"/>
      <c r="M34" s="41"/>
    </row>
    <row r="35" spans="2:13" x14ac:dyDescent="0.2">
      <c r="B35" s="51"/>
      <c r="C35" s="14"/>
      <c r="D35" s="22"/>
      <c r="E35" s="15"/>
      <c r="F35" s="16"/>
      <c r="G35" s="25"/>
      <c r="H35" s="18"/>
      <c r="J35" s="41"/>
      <c r="K35" s="46" t="str">
        <f t="shared" si="1"/>
        <v/>
      </c>
      <c r="L35" s="41"/>
      <c r="M35" s="41"/>
    </row>
    <row r="36" spans="2:13" x14ac:dyDescent="0.2">
      <c r="B36" s="51"/>
      <c r="C36" s="156"/>
      <c r="D36" s="157"/>
      <c r="E36" s="15"/>
      <c r="F36" s="16"/>
      <c r="G36" s="25"/>
      <c r="H36" s="18"/>
      <c r="J36" s="338" t="e">
        <f>_Gabion</f>
        <v>#NAME?</v>
      </c>
      <c r="K36" s="46" t="e">
        <f t="shared" si="1"/>
        <v>#NAME?</v>
      </c>
      <c r="L36" s="41"/>
      <c r="M36" s="41"/>
    </row>
    <row r="37" spans="2:13" x14ac:dyDescent="0.2">
      <c r="B37" s="51"/>
      <c r="C37" s="14"/>
      <c r="D37" s="22"/>
      <c r="E37" s="15"/>
      <c r="F37" s="16"/>
      <c r="G37" s="25"/>
      <c r="H37" s="18"/>
      <c r="J37" s="41"/>
      <c r="K37" s="46" t="str">
        <f t="shared" si="1"/>
        <v/>
      </c>
      <c r="L37" s="41"/>
      <c r="M37" s="41"/>
    </row>
    <row r="38" spans="2:13" x14ac:dyDescent="0.2">
      <c r="B38" s="59"/>
      <c r="C38" s="14"/>
      <c r="D38" s="15"/>
      <c r="E38" s="15"/>
      <c r="F38" s="16"/>
      <c r="G38" s="25"/>
      <c r="H38" s="18"/>
      <c r="J38" s="41"/>
      <c r="K38" s="46" t="str">
        <f t="shared" si="1"/>
        <v/>
      </c>
      <c r="L38" s="41"/>
      <c r="M38" s="41"/>
    </row>
    <row r="39" spans="2:13" x14ac:dyDescent="0.2">
      <c r="B39" s="51"/>
      <c r="C39" s="14"/>
      <c r="D39" s="22"/>
      <c r="E39" s="15"/>
      <c r="F39" s="16"/>
      <c r="G39" s="25"/>
      <c r="H39" s="18"/>
      <c r="J39" s="41">
        <f>_Geofabric</f>
        <v>0</v>
      </c>
      <c r="K39" s="46">
        <f t="shared" si="1"/>
        <v>0</v>
      </c>
      <c r="L39" s="41"/>
      <c r="M39" s="41"/>
    </row>
    <row r="40" spans="2:13" x14ac:dyDescent="0.2">
      <c r="B40" s="51"/>
      <c r="C40" s="14"/>
      <c r="D40" s="22"/>
      <c r="E40" s="15"/>
      <c r="F40" s="16"/>
      <c r="G40" s="25"/>
      <c r="H40" s="18"/>
      <c r="J40" s="41"/>
      <c r="K40" s="46" t="str">
        <f t="shared" si="1"/>
        <v/>
      </c>
      <c r="L40" s="41"/>
      <c r="M40" s="41"/>
    </row>
    <row r="41" spans="2:13" x14ac:dyDescent="0.2">
      <c r="B41" s="51"/>
      <c r="C41" s="14"/>
      <c r="D41" s="22"/>
      <c r="E41" s="15"/>
      <c r="F41" s="16"/>
      <c r="G41" s="25"/>
      <c r="H41" s="18"/>
      <c r="J41" s="41"/>
      <c r="K41" s="46"/>
      <c r="L41" s="41"/>
      <c r="M41" s="41"/>
    </row>
    <row r="42" spans="2:13" x14ac:dyDescent="0.2">
      <c r="B42" s="51"/>
      <c r="C42" s="14"/>
      <c r="D42" s="22"/>
      <c r="E42" s="15"/>
      <c r="F42" s="16"/>
      <c r="G42" s="25"/>
      <c r="H42" s="18"/>
      <c r="J42" s="41"/>
      <c r="K42" s="46"/>
      <c r="L42" s="41"/>
      <c r="M42" s="41"/>
    </row>
    <row r="43" spans="2:13" x14ac:dyDescent="0.2">
      <c r="B43" s="51"/>
      <c r="C43" s="14"/>
      <c r="D43" s="22"/>
      <c r="E43" s="15"/>
      <c r="F43" s="16"/>
      <c r="G43" s="25"/>
      <c r="H43" s="18"/>
      <c r="J43" s="41"/>
      <c r="K43" s="46"/>
      <c r="L43" s="41"/>
      <c r="M43" s="41"/>
    </row>
    <row r="44" spans="2:13" x14ac:dyDescent="0.2">
      <c r="B44" s="51"/>
      <c r="C44" s="14"/>
      <c r="D44" s="22"/>
      <c r="E44" s="15"/>
      <c r="F44" s="16"/>
      <c r="G44" s="25"/>
      <c r="H44" s="18"/>
      <c r="J44" s="41"/>
      <c r="K44" s="46"/>
      <c r="L44" s="41"/>
      <c r="M44" s="41"/>
    </row>
    <row r="45" spans="2:13" x14ac:dyDescent="0.2">
      <c r="B45" s="51"/>
      <c r="C45" s="14"/>
      <c r="D45" s="22"/>
      <c r="E45" s="15"/>
      <c r="F45" s="16"/>
      <c r="G45" s="25"/>
      <c r="H45" s="18"/>
      <c r="J45" s="41"/>
      <c r="K45" s="46"/>
      <c r="L45" s="41"/>
      <c r="M45" s="41"/>
    </row>
    <row r="46" spans="2:13" x14ac:dyDescent="0.2">
      <c r="B46" s="51"/>
      <c r="C46" s="14"/>
      <c r="D46" s="22"/>
      <c r="E46" s="15"/>
      <c r="F46" s="16"/>
      <c r="G46" s="25"/>
      <c r="H46" s="18"/>
      <c r="J46" s="41"/>
      <c r="K46" s="46"/>
      <c r="L46" s="41"/>
      <c r="M46" s="41"/>
    </row>
    <row r="47" spans="2:13" x14ac:dyDescent="0.2">
      <c r="B47" s="51"/>
      <c r="C47" s="14"/>
      <c r="D47" s="22"/>
      <c r="E47" s="15"/>
      <c r="F47" s="16"/>
      <c r="G47" s="25"/>
      <c r="H47" s="18"/>
      <c r="J47" s="41"/>
      <c r="K47" s="46"/>
      <c r="L47" s="41"/>
      <c r="M47" s="41"/>
    </row>
    <row r="48" spans="2:13" x14ac:dyDescent="0.2">
      <c r="B48" s="51"/>
      <c r="C48" s="14"/>
      <c r="D48" s="22"/>
      <c r="E48" s="15"/>
      <c r="F48" s="16"/>
      <c r="G48" s="25"/>
      <c r="H48" s="18"/>
      <c r="J48" s="41"/>
      <c r="K48" s="46"/>
      <c r="L48" s="41"/>
      <c r="M48" s="41"/>
    </row>
    <row r="49" spans="2:13" x14ac:dyDescent="0.2">
      <c r="B49" s="51"/>
      <c r="C49" s="14"/>
      <c r="D49" s="22"/>
      <c r="E49" s="15"/>
      <c r="F49" s="16"/>
      <c r="G49" s="25"/>
      <c r="H49" s="18"/>
      <c r="J49" s="41"/>
      <c r="K49" s="46"/>
      <c r="L49" s="41"/>
      <c r="M49" s="41"/>
    </row>
    <row r="50" spans="2:13" x14ac:dyDescent="0.2">
      <c r="B50" s="51"/>
      <c r="C50" s="14"/>
      <c r="D50" s="22"/>
      <c r="E50" s="15"/>
      <c r="F50" s="16"/>
      <c r="G50" s="25"/>
      <c r="H50" s="18"/>
      <c r="J50" s="41"/>
      <c r="K50" s="46"/>
      <c r="L50" s="41"/>
      <c r="M50" s="41"/>
    </row>
    <row r="51" spans="2:13" x14ac:dyDescent="0.2">
      <c r="B51" s="51"/>
      <c r="C51" s="14"/>
      <c r="D51" s="22"/>
      <c r="E51" s="15"/>
      <c r="F51" s="16"/>
      <c r="G51" s="25"/>
      <c r="H51" s="18"/>
      <c r="J51" s="41"/>
      <c r="K51" s="46"/>
      <c r="L51" s="41"/>
      <c r="M51" s="41"/>
    </row>
    <row r="52" spans="2:13" x14ac:dyDescent="0.2">
      <c r="B52" s="51"/>
      <c r="C52" s="14"/>
      <c r="D52" s="22"/>
      <c r="E52" s="15"/>
      <c r="F52" s="16"/>
      <c r="G52" s="25"/>
      <c r="H52" s="18"/>
      <c r="J52" s="41"/>
      <c r="K52" s="46"/>
      <c r="L52" s="41"/>
      <c r="M52" s="41"/>
    </row>
    <row r="53" spans="2:13" x14ac:dyDescent="0.2">
      <c r="B53" s="51"/>
      <c r="C53" s="14"/>
      <c r="D53" s="22"/>
      <c r="E53" s="15"/>
      <c r="F53" s="16"/>
      <c r="G53" s="25"/>
      <c r="H53" s="18"/>
      <c r="J53" s="41"/>
      <c r="K53" s="46"/>
      <c r="L53" s="41"/>
      <c r="M53" s="41"/>
    </row>
    <row r="54" spans="2:13" x14ac:dyDescent="0.2">
      <c r="B54" s="51"/>
      <c r="C54" s="14"/>
      <c r="D54" s="22"/>
      <c r="E54" s="15"/>
      <c r="F54" s="16"/>
      <c r="G54" s="25"/>
      <c r="H54" s="18"/>
      <c r="J54" s="41"/>
      <c r="K54" s="46"/>
      <c r="L54" s="41"/>
      <c r="M54" s="41"/>
    </row>
    <row r="55" spans="2:13" x14ac:dyDescent="0.2">
      <c r="B55" s="51"/>
      <c r="C55" s="14"/>
      <c r="D55" s="22"/>
      <c r="E55" s="15"/>
      <c r="F55" s="16"/>
      <c r="G55" s="25"/>
      <c r="H55" s="18"/>
      <c r="J55" s="41"/>
      <c r="K55" s="46" t="str">
        <f t="shared" si="1"/>
        <v/>
      </c>
      <c r="L55" s="41"/>
      <c r="M55" s="41"/>
    </row>
    <row r="56" spans="2:13" x14ac:dyDescent="0.2">
      <c r="B56" s="51"/>
      <c r="C56" s="14"/>
      <c r="D56" s="22"/>
      <c r="E56" s="15"/>
      <c r="F56" s="16"/>
      <c r="G56" s="25"/>
      <c r="H56" s="18"/>
      <c r="J56" s="41"/>
      <c r="K56" s="46" t="str">
        <f t="shared" si="1"/>
        <v/>
      </c>
      <c r="L56" s="41"/>
      <c r="M56" s="41"/>
    </row>
    <row r="57" spans="2:13" x14ac:dyDescent="0.2">
      <c r="B57" s="51"/>
      <c r="C57" s="14"/>
      <c r="D57" s="22"/>
      <c r="E57" s="15"/>
      <c r="F57" s="16"/>
      <c r="G57" s="25"/>
      <c r="H57" s="18"/>
      <c r="J57" s="41"/>
      <c r="K57" s="46" t="str">
        <f t="shared" si="1"/>
        <v/>
      </c>
      <c r="L57" s="41"/>
      <c r="M57" s="41"/>
    </row>
    <row r="58" spans="2:13" x14ac:dyDescent="0.2">
      <c r="B58" s="51"/>
      <c r="C58" s="14"/>
      <c r="D58" s="22"/>
      <c r="E58" s="15"/>
      <c r="F58" s="16"/>
      <c r="G58" s="25"/>
      <c r="H58" s="18"/>
      <c r="J58" s="80"/>
      <c r="K58" s="46"/>
      <c r="L58" s="80"/>
      <c r="M58" s="80"/>
    </row>
    <row r="59" spans="2:13" x14ac:dyDescent="0.2">
      <c r="B59" s="51"/>
      <c r="C59" s="14"/>
      <c r="D59" s="22"/>
      <c r="E59" s="15"/>
      <c r="F59" s="16"/>
      <c r="G59" s="25"/>
      <c r="H59" s="18"/>
      <c r="J59" s="80"/>
      <c r="K59" s="46"/>
      <c r="L59" s="80"/>
      <c r="M59" s="80"/>
    </row>
    <row r="60" spans="2:13" x14ac:dyDescent="0.2">
      <c r="B60" s="51"/>
      <c r="C60" s="14"/>
      <c r="D60" s="22"/>
      <c r="E60" s="15"/>
      <c r="F60" s="16"/>
      <c r="G60" s="25"/>
      <c r="H60" s="18"/>
      <c r="J60" s="80"/>
      <c r="K60" s="46"/>
      <c r="L60" s="80"/>
      <c r="M60" s="80"/>
    </row>
    <row r="61" spans="2:13" x14ac:dyDescent="0.2">
      <c r="B61" s="51"/>
      <c r="C61" s="14"/>
      <c r="D61" s="22"/>
      <c r="E61" s="15"/>
      <c r="F61" s="16"/>
      <c r="G61" s="25"/>
      <c r="H61" s="18"/>
      <c r="J61" s="80"/>
      <c r="K61" s="46"/>
      <c r="L61" s="80"/>
      <c r="M61" s="80"/>
    </row>
    <row r="62" spans="2:13" x14ac:dyDescent="0.2">
      <c r="B62" s="51"/>
      <c r="C62" s="14"/>
      <c r="D62" s="22"/>
      <c r="E62" s="15"/>
      <c r="F62" s="16"/>
      <c r="G62" s="25"/>
      <c r="H62" s="18"/>
      <c r="J62" s="80"/>
      <c r="K62" s="46"/>
      <c r="L62" s="80"/>
      <c r="M62" s="80"/>
    </row>
    <row r="63" spans="2:13" x14ac:dyDescent="0.2">
      <c r="B63" s="51"/>
      <c r="C63" s="14"/>
      <c r="D63" s="22"/>
      <c r="E63" s="15"/>
      <c r="F63" s="16"/>
      <c r="G63" s="25"/>
      <c r="H63" s="18"/>
      <c r="J63" s="80"/>
      <c r="K63" s="46"/>
      <c r="L63" s="80"/>
      <c r="M63" s="80"/>
    </row>
    <row r="64" spans="2:13" x14ac:dyDescent="0.2">
      <c r="B64" s="51"/>
      <c r="C64" s="14"/>
      <c r="D64" s="22"/>
      <c r="E64" s="15"/>
      <c r="F64" s="16"/>
      <c r="G64" s="25"/>
      <c r="H64" s="18"/>
      <c r="J64" s="80"/>
      <c r="K64" s="46"/>
      <c r="L64" s="80"/>
      <c r="M64" s="80"/>
    </row>
    <row r="65" spans="2:13" x14ac:dyDescent="0.2">
      <c r="B65" s="51"/>
      <c r="C65" s="14"/>
      <c r="D65" s="22"/>
      <c r="E65" s="15"/>
      <c r="F65" s="16"/>
      <c r="G65" s="25"/>
      <c r="H65" s="18"/>
      <c r="J65" s="80"/>
      <c r="K65" s="46"/>
      <c r="L65" s="80"/>
      <c r="M65" s="80"/>
    </row>
    <row r="66" spans="2:13" x14ac:dyDescent="0.2">
      <c r="B66" s="51"/>
      <c r="C66" s="14"/>
      <c r="D66" s="22"/>
      <c r="E66" s="15"/>
      <c r="F66" s="16"/>
      <c r="G66" s="25"/>
      <c r="H66" s="18"/>
      <c r="J66" s="80"/>
      <c r="K66" s="46"/>
      <c r="L66" s="80"/>
      <c r="M66" s="80"/>
    </row>
    <row r="67" spans="2:13" x14ac:dyDescent="0.2">
      <c r="B67" s="51"/>
      <c r="C67" s="14"/>
      <c r="D67" s="22"/>
      <c r="E67" s="15"/>
      <c r="F67" s="16"/>
      <c r="G67" s="25"/>
      <c r="H67" s="18"/>
      <c r="J67" s="80"/>
      <c r="K67" s="46"/>
      <c r="L67" s="80"/>
      <c r="M67" s="80"/>
    </row>
    <row r="68" spans="2:13" x14ac:dyDescent="0.2">
      <c r="B68" s="51"/>
      <c r="C68" s="14"/>
      <c r="D68" s="22"/>
      <c r="E68" s="15"/>
      <c r="F68" s="16"/>
      <c r="G68" s="25"/>
      <c r="H68" s="18"/>
      <c r="J68" s="80"/>
      <c r="K68" s="46"/>
      <c r="L68" s="80"/>
      <c r="M68" s="80"/>
    </row>
    <row r="69" spans="2:13" x14ac:dyDescent="0.2">
      <c r="B69" s="51"/>
      <c r="C69" s="14"/>
      <c r="D69" s="22"/>
      <c r="E69" s="15"/>
      <c r="F69" s="16"/>
      <c r="G69" s="25"/>
      <c r="H69" s="18"/>
      <c r="J69" s="80"/>
      <c r="K69" s="46"/>
      <c r="L69" s="80"/>
      <c r="M69" s="80"/>
    </row>
    <row r="70" spans="2:13" x14ac:dyDescent="0.2">
      <c r="B70" s="51"/>
      <c r="C70" s="14"/>
      <c r="D70" s="22"/>
      <c r="E70" s="500"/>
      <c r="F70" s="16"/>
      <c r="G70" s="25"/>
      <c r="H70" s="18"/>
      <c r="J70" s="1">
        <f>_Backfill</f>
        <v>0</v>
      </c>
      <c r="K70" s="46">
        <f t="shared" si="1"/>
        <v>0</v>
      </c>
    </row>
    <row r="71" spans="2:13" x14ac:dyDescent="0.2">
      <c r="B71" s="51"/>
      <c r="C71" s="14"/>
      <c r="D71" s="22"/>
      <c r="E71" s="500"/>
      <c r="F71" s="16"/>
      <c r="G71" s="25"/>
      <c r="H71" s="18"/>
      <c r="K71" s="46" t="str">
        <f t="shared" si="1"/>
        <v/>
      </c>
    </row>
    <row r="72" spans="2:13" x14ac:dyDescent="0.2">
      <c r="B72" s="51"/>
      <c r="C72" s="14"/>
      <c r="D72" s="22"/>
      <c r="E72" s="500"/>
      <c r="F72" s="16"/>
      <c r="G72" s="25"/>
      <c r="H72" s="18"/>
      <c r="K72" s="46" t="str">
        <f t="shared" si="1"/>
        <v/>
      </c>
    </row>
    <row r="73" spans="2:13" x14ac:dyDescent="0.2">
      <c r="B73" s="51"/>
      <c r="C73" s="14"/>
      <c r="D73" s="22"/>
      <c r="E73" s="500"/>
      <c r="F73" s="16"/>
      <c r="G73" s="25"/>
      <c r="H73" s="18"/>
      <c r="J73" s="1">
        <f>_Place</f>
        <v>0</v>
      </c>
      <c r="K73" s="46">
        <f t="shared" si="1"/>
        <v>0</v>
      </c>
    </row>
    <row r="74" spans="2:13" x14ac:dyDescent="0.2">
      <c r="B74" s="51"/>
      <c r="C74" s="14"/>
      <c r="D74" s="22"/>
      <c r="E74" s="15"/>
      <c r="F74" s="16"/>
      <c r="G74" s="25"/>
      <c r="H74" s="18"/>
    </row>
    <row r="75" spans="2:13" x14ac:dyDescent="0.2">
      <c r="B75" s="51"/>
      <c r="C75" s="14"/>
      <c r="D75" s="22"/>
      <c r="E75" s="15"/>
      <c r="F75" s="16"/>
      <c r="G75" s="25"/>
      <c r="H75" s="18"/>
    </row>
    <row r="76" spans="2:13" x14ac:dyDescent="0.2">
      <c r="B76" s="51"/>
      <c r="C76" s="14"/>
      <c r="D76" s="22"/>
      <c r="E76" s="15"/>
      <c r="F76" s="16"/>
      <c r="G76" s="25"/>
      <c r="H76" s="18"/>
    </row>
    <row r="77" spans="2:13" x14ac:dyDescent="0.2">
      <c r="B77" s="51"/>
      <c r="C77" s="14"/>
      <c r="D77" s="22"/>
      <c r="E77" s="15"/>
      <c r="F77" s="16"/>
      <c r="G77" s="25"/>
      <c r="H77" s="18"/>
    </row>
    <row r="78" spans="2:13" x14ac:dyDescent="0.2">
      <c r="B78" s="51"/>
      <c r="C78" s="14"/>
      <c r="D78" s="22"/>
      <c r="E78" s="15"/>
      <c r="F78" s="16"/>
      <c r="G78" s="25" t="str">
        <f>IF(D78="","",E78*F78)</f>
        <v/>
      </c>
      <c r="H78" s="18"/>
    </row>
    <row r="79" spans="2:13" x14ac:dyDescent="0.2">
      <c r="B79" s="51"/>
      <c r="C79" s="14"/>
      <c r="D79" s="22"/>
      <c r="E79" s="15"/>
      <c r="F79" s="16"/>
      <c r="G79" s="25" t="str">
        <f>IF(D79="","",E79*F79)</f>
        <v/>
      </c>
      <c r="H79" s="18"/>
    </row>
    <row r="80" spans="2:13" x14ac:dyDescent="0.2">
      <c r="B80" s="51"/>
      <c r="C80" s="14"/>
      <c r="D80" s="22"/>
      <c r="E80" s="15"/>
      <c r="F80" s="16"/>
      <c r="G80" s="25"/>
      <c r="H80" s="18"/>
    </row>
    <row r="81" spans="2:11" x14ac:dyDescent="0.2">
      <c r="B81" s="59"/>
      <c r="C81" s="14"/>
      <c r="D81" s="15"/>
      <c r="E81" s="15"/>
      <c r="F81" s="16"/>
      <c r="G81" s="25"/>
      <c r="H81" s="18"/>
    </row>
    <row r="82" spans="2:11" x14ac:dyDescent="0.2">
      <c r="B82" s="59"/>
      <c r="C82" s="14"/>
      <c r="D82" s="15"/>
      <c r="E82" s="15"/>
      <c r="F82" s="16"/>
      <c r="G82" s="25"/>
      <c r="H82" s="18"/>
    </row>
    <row r="83" spans="2:11" s="30" customFormat="1" ht="24.75" customHeight="1" x14ac:dyDescent="0.2">
      <c r="B83" s="77" t="str">
        <f>$B$11</f>
        <v>C11.3</v>
      </c>
      <c r="C83" s="32" t="s">
        <v>700</v>
      </c>
      <c r="D83" s="33"/>
      <c r="E83" s="34"/>
      <c r="F83" s="33"/>
      <c r="G83" s="352">
        <f>SUM(G10:G82)</f>
        <v>0</v>
      </c>
      <c r="H83" s="36"/>
      <c r="K83" s="35" t="e">
        <f>SUM(K10:K82)</f>
        <v>#NAME?</v>
      </c>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62F10C42-59CD-4BF5-A39E-F23C498ED56D}">
            <xm:f>AND(Information!$C$8=FALSE,$D11&lt;&gt;"P C Sum",$D11&lt;&gt;"PC Sum",$D11&lt;&gt;"P Sum",$D11&lt;&gt;"Prov Sum")</xm:f>
            <x14:dxf>
              <font>
                <strike val="0"/>
                <color theme="0"/>
              </font>
              <numFmt numFmtId="4" formatCode="#,##0.00"/>
            </x14:dxf>
          </x14:cfRule>
          <xm:sqref>F11:G82</xm:sqref>
        </x14:conditionalFormatting>
        <x14:conditionalFormatting xmlns:xm="http://schemas.microsoft.com/office/excel/2006/main">
          <x14:cfRule type="expression" priority="2" id="{D7C6D67A-D81D-49A3-9D44-1AF4B19CABEF}">
            <xm:f>AND(Information!$C$8=FALSE,$D83&lt;&gt;"P C Sum",$D83&lt;&gt;"PC Sum",$D83&lt;&gt;"P Sum",$D83&lt;&gt;"Prov Sum")</xm:f>
            <x14:dxf>
              <font>
                <strike val="0"/>
                <color theme="0"/>
              </font>
              <numFmt numFmtId="4" formatCode="#,##0.00"/>
            </x14:dxf>
          </x14:cfRule>
          <xm:sqref>G83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BD44-F7BE-429D-BF9B-1CE9F724029C}">
  <sheetPr codeName="Sheet84">
    <tabColor rgb="FF00B050"/>
  </sheetPr>
  <dimension ref="B1:P121"/>
  <sheetViews>
    <sheetView view="pageBreakPreview" zoomScaleNormal="125" zoomScaleSheetLayoutView="100" zoomScalePageLayoutView="125" workbookViewId="0">
      <pane xSplit="4" ySplit="2" topLeftCell="E3" activePane="bottomRight" state="frozen"/>
      <selection activeCell="G5" sqref="G5:G8"/>
      <selection pane="topRight" activeCell="G5" sqref="G5:G8"/>
      <selection pane="bottomLeft" activeCell="G5" sqref="G5:G8"/>
      <selection pane="bottomRight" activeCell="C63" sqref="C63"/>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11.7109375" style="1" bestFit="1" customWidth="1"/>
    <col min="12" max="16384" width="8.85546875" style="1"/>
  </cols>
  <sheetData>
    <row r="1" spans="2:13" x14ac:dyDescent="0.2">
      <c r="G1" s="166">
        <f>MAX(G9:G515)</f>
        <v>0</v>
      </c>
    </row>
    <row r="2" spans="2:13" x14ac:dyDescent="0.2">
      <c r="B2" s="2" t="str">
        <f>Client1</f>
        <v>Province of KwaZulu-Natal</v>
      </c>
      <c r="E2" s="703" t="str">
        <f>"Contract No. "&amp;ContractNo</f>
        <v>Contract No. ZNB02287/00000/00/MET/INF/24/T</v>
      </c>
      <c r="F2" s="703"/>
      <c r="G2" s="703"/>
      <c r="J2" s="293"/>
      <c r="K2" s="293" t="e">
        <f>MAX(K3:K260)</f>
        <v>#NAME?</v>
      </c>
      <c r="L2" s="293"/>
      <c r="M2" s="294"/>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8</v>
      </c>
      <c r="C5" s="699"/>
      <c r="D5" s="699"/>
      <c r="E5" s="699"/>
      <c r="F5" s="699"/>
      <c r="G5" s="695" t="str">
        <f>"CHAPTER "&amp;B11</f>
        <v>CHAPTER C11.4</v>
      </c>
      <c r="H5" s="6"/>
    </row>
    <row r="6" spans="2:13" ht="7.5" customHeight="1" x14ac:dyDescent="0.2">
      <c r="B6" s="711" t="str">
        <f>ContractDescription</f>
        <v>PROVISION OF ROUTINE AND SAFETY MAINTENANCE ON MIAN ROAD P3/1 (KM 69.00 TO KM 77.96), P3/2 (KM 0.00 TO KM 11.50), P21/2(KM 0.00 TO KM 29.83 IN THE ETHEKWINI METRO - DURBAN REGION</v>
      </c>
      <c r="C6" s="712"/>
      <c r="D6" s="712"/>
      <c r="E6" s="712"/>
      <c r="F6" s="712"/>
      <c r="G6" s="696"/>
      <c r="H6" s="8"/>
    </row>
    <row r="7" spans="2:13" ht="12.75" customHeight="1" x14ac:dyDescent="0.2">
      <c r="B7" s="711"/>
      <c r="C7" s="712"/>
      <c r="D7" s="712"/>
      <c r="E7" s="712"/>
      <c r="F7" s="712"/>
      <c r="G7" s="696"/>
      <c r="H7" s="8"/>
    </row>
    <row r="8" spans="2:13" s="9" customFormat="1" ht="7.5" customHeight="1" x14ac:dyDescent="0.2">
      <c r="B8" s="713"/>
      <c r="C8" s="714"/>
      <c r="D8" s="714"/>
      <c r="E8" s="714"/>
      <c r="F8" s="714"/>
      <c r="G8" s="69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573"/>
      <c r="G10" s="575" t="str">
        <f>IF(D10="","",E10*F10)</f>
        <v/>
      </c>
      <c r="H10" s="18"/>
      <c r="J10" s="16"/>
      <c r="K10" s="16"/>
      <c r="L10" s="16"/>
      <c r="M10" s="16"/>
    </row>
    <row r="11" spans="2:13" x14ac:dyDescent="0.2">
      <c r="B11" s="47" t="s">
        <v>319</v>
      </c>
      <c r="C11" s="20" t="s">
        <v>318</v>
      </c>
      <c r="D11" s="15"/>
      <c r="E11" s="15"/>
      <c r="F11" s="573"/>
      <c r="G11" s="575"/>
      <c r="H11" s="18"/>
      <c r="J11" s="41"/>
      <c r="K11" s="41"/>
      <c r="L11" s="41"/>
      <c r="M11" s="41"/>
    </row>
    <row r="12" spans="2:13" x14ac:dyDescent="0.2">
      <c r="B12" s="51"/>
      <c r="C12" s="14"/>
      <c r="D12" s="15"/>
      <c r="E12" s="15"/>
      <c r="F12" s="573"/>
      <c r="G12" s="575"/>
      <c r="H12" s="18"/>
      <c r="J12" s="41"/>
      <c r="K12" s="41"/>
      <c r="L12" s="41"/>
      <c r="M12" s="41"/>
    </row>
    <row r="13" spans="2:13" s="30" customFormat="1" x14ac:dyDescent="0.2">
      <c r="B13" s="67" t="s">
        <v>237</v>
      </c>
      <c r="C13" s="20" t="s">
        <v>236</v>
      </c>
      <c r="D13" s="450"/>
      <c r="E13" s="450"/>
      <c r="F13" s="578"/>
      <c r="G13" s="579" t="str">
        <f t="shared" ref="G13:G19" si="0">IF(D13="","",E13*F13)</f>
        <v/>
      </c>
      <c r="H13" s="452"/>
      <c r="J13" s="455"/>
      <c r="K13" s="448" t="str">
        <f t="shared" ref="K13:K65" si="1">IF(J13="","",J13*E13)</f>
        <v/>
      </c>
      <c r="L13" s="455"/>
      <c r="M13" s="455"/>
    </row>
    <row r="14" spans="2:13" x14ac:dyDescent="0.2">
      <c r="B14" s="51"/>
      <c r="C14" s="14"/>
      <c r="D14" s="15"/>
      <c r="E14" s="15"/>
      <c r="F14" s="573"/>
      <c r="G14" s="575" t="str">
        <f t="shared" si="0"/>
        <v/>
      </c>
      <c r="H14" s="18"/>
      <c r="J14" s="41"/>
      <c r="K14" s="46" t="str">
        <f t="shared" si="1"/>
        <v/>
      </c>
      <c r="L14" s="41"/>
      <c r="M14" s="41"/>
    </row>
    <row r="15" spans="2:13" ht="18" customHeight="1" x14ac:dyDescent="0.2">
      <c r="B15" s="59" t="s">
        <v>216</v>
      </c>
      <c r="C15" s="52" t="s">
        <v>235</v>
      </c>
      <c r="D15" s="15"/>
      <c r="E15" s="15"/>
      <c r="F15" s="573"/>
      <c r="G15" s="575" t="str">
        <f t="shared" si="0"/>
        <v/>
      </c>
      <c r="H15" s="18"/>
      <c r="J15" s="41"/>
      <c r="K15" s="46" t="str">
        <f t="shared" si="1"/>
        <v/>
      </c>
      <c r="L15" s="41"/>
      <c r="M15" s="41"/>
    </row>
    <row r="16" spans="2:13" x14ac:dyDescent="0.2">
      <c r="B16" s="59"/>
      <c r="C16" s="14"/>
      <c r="D16" s="15"/>
      <c r="E16" s="15"/>
      <c r="F16" s="573"/>
      <c r="G16" s="575" t="str">
        <f t="shared" si="0"/>
        <v/>
      </c>
      <c r="H16" s="18"/>
      <c r="J16" s="41"/>
      <c r="K16" s="46" t="str">
        <f t="shared" si="1"/>
        <v/>
      </c>
      <c r="L16" s="41"/>
      <c r="M16" s="41"/>
    </row>
    <row r="17" spans="2:16" x14ac:dyDescent="0.2">
      <c r="B17" s="51" t="s">
        <v>34</v>
      </c>
      <c r="C17" s="14" t="s">
        <v>406</v>
      </c>
      <c r="D17" s="22" t="s">
        <v>6</v>
      </c>
      <c r="E17" s="23">
        <v>6500</v>
      </c>
      <c r="F17" s="573"/>
      <c r="G17" s="575">
        <f t="shared" si="0"/>
        <v>0</v>
      </c>
      <c r="H17" s="58"/>
      <c r="J17" s="347" t="e">
        <f>_GRail</f>
        <v>#NAME?</v>
      </c>
      <c r="K17" s="46" t="e">
        <f t="shared" si="1"/>
        <v>#NAME?</v>
      </c>
      <c r="L17" s="41"/>
      <c r="M17" s="41"/>
    </row>
    <row r="18" spans="2:16" x14ac:dyDescent="0.2">
      <c r="B18" s="59"/>
      <c r="C18" s="27"/>
      <c r="D18" s="61"/>
      <c r="E18" s="26"/>
      <c r="F18" s="573"/>
      <c r="G18" s="575" t="str">
        <f t="shared" si="0"/>
        <v/>
      </c>
      <c r="H18" s="63"/>
      <c r="J18" s="41"/>
      <c r="K18" s="46" t="str">
        <f t="shared" si="1"/>
        <v/>
      </c>
      <c r="L18" s="41"/>
      <c r="M18" s="41"/>
      <c r="P18" s="1">
        <f>1420/3.8</f>
        <v>373.68421052631578</v>
      </c>
    </row>
    <row r="19" spans="2:16" ht="38.25" x14ac:dyDescent="0.2">
      <c r="B19" s="51" t="s">
        <v>37</v>
      </c>
      <c r="C19" s="14" t="s">
        <v>234</v>
      </c>
      <c r="D19" s="22" t="s">
        <v>6</v>
      </c>
      <c r="E19" s="26">
        <v>6500</v>
      </c>
      <c r="F19" s="573"/>
      <c r="G19" s="575">
        <f t="shared" si="0"/>
        <v>0</v>
      </c>
      <c r="H19" s="63"/>
      <c r="J19" s="346">
        <f>F19*20%</f>
        <v>0</v>
      </c>
      <c r="K19" s="46">
        <f t="shared" si="1"/>
        <v>0</v>
      </c>
      <c r="L19" s="41"/>
      <c r="M19" s="41"/>
    </row>
    <row r="20" spans="2:16" x14ac:dyDescent="0.2">
      <c r="B20" s="51"/>
      <c r="C20" s="28"/>
      <c r="D20" s="22"/>
      <c r="E20" s="26"/>
      <c r="F20" s="573"/>
      <c r="G20" s="575"/>
      <c r="H20" s="63"/>
      <c r="J20" s="41"/>
      <c r="K20" s="46" t="str">
        <f t="shared" si="1"/>
        <v/>
      </c>
      <c r="L20" s="41"/>
      <c r="M20" s="41"/>
    </row>
    <row r="21" spans="2:16" x14ac:dyDescent="0.2">
      <c r="B21" s="51" t="s">
        <v>233</v>
      </c>
      <c r="C21" s="27" t="s">
        <v>232</v>
      </c>
      <c r="D21" s="22"/>
      <c r="E21" s="26"/>
      <c r="F21" s="573"/>
      <c r="G21" s="575"/>
      <c r="H21" s="63"/>
      <c r="J21" s="41"/>
      <c r="K21" s="46" t="str">
        <f t="shared" si="1"/>
        <v/>
      </c>
      <c r="L21" s="41"/>
      <c r="M21" s="41"/>
    </row>
    <row r="22" spans="2:16" x14ac:dyDescent="0.2">
      <c r="B22" s="59"/>
      <c r="C22" s="27"/>
      <c r="D22" s="61"/>
      <c r="E22" s="26"/>
      <c r="F22" s="573"/>
      <c r="G22" s="575" t="str">
        <f t="shared" ref="G22:G37" si="2">IF(D22="","",E22*F22)</f>
        <v/>
      </c>
      <c r="H22" s="63"/>
      <c r="J22" s="41"/>
      <c r="K22" s="46" t="str">
        <f t="shared" si="1"/>
        <v/>
      </c>
      <c r="L22" s="41"/>
      <c r="M22" s="41"/>
    </row>
    <row r="23" spans="2:16" x14ac:dyDescent="0.2">
      <c r="B23" s="51" t="s">
        <v>34</v>
      </c>
      <c r="C23" s="14" t="s">
        <v>231</v>
      </c>
      <c r="D23" s="22" t="s">
        <v>33</v>
      </c>
      <c r="E23" s="26">
        <v>30</v>
      </c>
      <c r="F23" s="573"/>
      <c r="G23" s="575">
        <f t="shared" si="2"/>
        <v>0</v>
      </c>
      <c r="H23" s="63"/>
      <c r="J23" s="346">
        <f>F23*10%</f>
        <v>0</v>
      </c>
      <c r="K23" s="46">
        <f t="shared" si="1"/>
        <v>0</v>
      </c>
      <c r="L23" s="41"/>
      <c r="M23" s="41"/>
    </row>
    <row r="24" spans="2:16" x14ac:dyDescent="0.2">
      <c r="B24" s="51"/>
      <c r="C24" s="14"/>
      <c r="D24" s="22"/>
      <c r="E24" s="26"/>
      <c r="F24" s="573"/>
      <c r="G24" s="575" t="str">
        <f t="shared" si="2"/>
        <v/>
      </c>
      <c r="H24" s="63"/>
      <c r="J24" s="346"/>
      <c r="K24" s="46"/>
      <c r="L24" s="41"/>
      <c r="M24" s="41"/>
    </row>
    <row r="25" spans="2:16" x14ac:dyDescent="0.2">
      <c r="B25" s="95" t="s">
        <v>35</v>
      </c>
      <c r="C25" s="126" t="s">
        <v>628</v>
      </c>
      <c r="D25" s="94" t="s">
        <v>33</v>
      </c>
      <c r="E25" s="26">
        <v>12</v>
      </c>
      <c r="F25" s="573"/>
      <c r="G25" s="575">
        <f t="shared" si="2"/>
        <v>0</v>
      </c>
      <c r="H25" s="63"/>
      <c r="J25" s="346"/>
      <c r="K25" s="46"/>
      <c r="L25" s="41"/>
      <c r="M25" s="41"/>
    </row>
    <row r="26" spans="2:16" x14ac:dyDescent="0.2">
      <c r="B26" s="160"/>
      <c r="C26" s="93"/>
      <c r="D26" s="92"/>
      <c r="E26" s="26"/>
      <c r="F26" s="573"/>
      <c r="G26" s="575" t="str">
        <f t="shared" si="2"/>
        <v/>
      </c>
      <c r="H26" s="63"/>
      <c r="J26" s="346"/>
      <c r="K26" s="46"/>
      <c r="L26" s="41"/>
      <c r="M26" s="41"/>
    </row>
    <row r="27" spans="2:16" x14ac:dyDescent="0.2">
      <c r="B27" s="95" t="s">
        <v>182</v>
      </c>
      <c r="C27" s="93" t="s">
        <v>629</v>
      </c>
      <c r="D27" s="94" t="s">
        <v>33</v>
      </c>
      <c r="E27" s="26">
        <v>3</v>
      </c>
      <c r="F27" s="573"/>
      <c r="G27" s="575">
        <f t="shared" si="2"/>
        <v>0</v>
      </c>
      <c r="H27" s="63"/>
      <c r="J27" s="346"/>
      <c r="K27" s="46"/>
      <c r="L27" s="41"/>
      <c r="M27" s="41"/>
    </row>
    <row r="28" spans="2:16" x14ac:dyDescent="0.2">
      <c r="B28" s="59"/>
      <c r="C28" s="14"/>
      <c r="D28" s="15"/>
      <c r="E28" s="26"/>
      <c r="F28" s="573"/>
      <c r="G28" s="575" t="str">
        <f t="shared" si="2"/>
        <v/>
      </c>
      <c r="H28" s="18"/>
      <c r="J28" s="41"/>
      <c r="K28" s="46" t="str">
        <f t="shared" si="1"/>
        <v/>
      </c>
      <c r="L28" s="41"/>
      <c r="M28" s="41"/>
    </row>
    <row r="29" spans="2:16" ht="25.5" x14ac:dyDescent="0.2">
      <c r="B29" s="51" t="s">
        <v>37</v>
      </c>
      <c r="C29" s="14" t="s">
        <v>407</v>
      </c>
      <c r="D29" s="22" t="s">
        <v>33</v>
      </c>
      <c r="E29" s="26">
        <v>6</v>
      </c>
      <c r="F29" s="573"/>
      <c r="G29" s="575">
        <f t="shared" si="2"/>
        <v>0</v>
      </c>
      <c r="H29" s="18"/>
      <c r="J29" s="346">
        <f>F29*10%</f>
        <v>0</v>
      </c>
      <c r="K29" s="46">
        <f t="shared" si="1"/>
        <v>0</v>
      </c>
      <c r="L29" s="41"/>
      <c r="M29" s="41"/>
    </row>
    <row r="30" spans="2:16" x14ac:dyDescent="0.2">
      <c r="B30" s="59"/>
      <c r="C30" s="14"/>
      <c r="D30" s="15"/>
      <c r="E30" s="26"/>
      <c r="F30" s="573"/>
      <c r="G30" s="575" t="str">
        <f t="shared" si="2"/>
        <v/>
      </c>
      <c r="H30" s="18"/>
      <c r="J30" s="41"/>
      <c r="K30" s="46" t="str">
        <f t="shared" si="1"/>
        <v/>
      </c>
      <c r="L30" s="41"/>
      <c r="M30" s="41"/>
    </row>
    <row r="31" spans="2:16" ht="25.5" x14ac:dyDescent="0.2">
      <c r="B31" s="51" t="s">
        <v>38</v>
      </c>
      <c r="C31" s="14" t="s">
        <v>408</v>
      </c>
      <c r="D31" s="22" t="s">
        <v>33</v>
      </c>
      <c r="E31" s="26">
        <v>4</v>
      </c>
      <c r="F31" s="573"/>
      <c r="G31" s="575">
        <f t="shared" si="2"/>
        <v>0</v>
      </c>
      <c r="H31" s="18"/>
      <c r="J31" s="346">
        <f>F31*10%</f>
        <v>0</v>
      </c>
      <c r="K31" s="46">
        <f t="shared" si="1"/>
        <v>0</v>
      </c>
      <c r="L31" s="41"/>
      <c r="M31" s="41"/>
    </row>
    <row r="32" spans="2:16" x14ac:dyDescent="0.2">
      <c r="B32" s="59"/>
      <c r="C32" s="14"/>
      <c r="D32" s="15"/>
      <c r="E32" s="26"/>
      <c r="F32" s="573"/>
      <c r="G32" s="575" t="str">
        <f t="shared" si="2"/>
        <v/>
      </c>
      <c r="H32" s="18"/>
      <c r="J32" s="41"/>
      <c r="K32" s="46" t="str">
        <f t="shared" si="1"/>
        <v/>
      </c>
      <c r="L32" s="41"/>
      <c r="M32" s="41"/>
    </row>
    <row r="33" spans="2:13" ht="38.25" x14ac:dyDescent="0.2">
      <c r="B33" s="51" t="s">
        <v>103</v>
      </c>
      <c r="C33" s="14" t="s">
        <v>230</v>
      </c>
      <c r="D33" s="22" t="s">
        <v>33</v>
      </c>
      <c r="E33" s="26">
        <v>14</v>
      </c>
      <c r="F33" s="573"/>
      <c r="G33" s="575">
        <f t="shared" si="2"/>
        <v>0</v>
      </c>
      <c r="H33" s="18"/>
      <c r="J33" s="347">
        <f>F33*10%</f>
        <v>0</v>
      </c>
      <c r="K33" s="46">
        <f t="shared" si="1"/>
        <v>0</v>
      </c>
      <c r="L33" s="41"/>
      <c r="M33" s="41"/>
    </row>
    <row r="34" spans="2:13" x14ac:dyDescent="0.2">
      <c r="B34" s="59"/>
      <c r="C34" s="76"/>
      <c r="D34" s="15"/>
      <c r="E34" s="15"/>
      <c r="F34" s="573"/>
      <c r="G34" s="575" t="str">
        <f t="shared" si="2"/>
        <v/>
      </c>
      <c r="H34" s="18"/>
      <c r="J34" s="41"/>
      <c r="K34" s="46" t="str">
        <f t="shared" si="1"/>
        <v/>
      </c>
      <c r="L34" s="41"/>
      <c r="M34" s="41"/>
    </row>
    <row r="35" spans="2:13" s="30" customFormat="1" x14ac:dyDescent="0.2">
      <c r="B35" s="67" t="s">
        <v>229</v>
      </c>
      <c r="C35" s="20" t="s">
        <v>228</v>
      </c>
      <c r="D35" s="429"/>
      <c r="E35" s="451"/>
      <c r="F35" s="578"/>
      <c r="G35" s="579" t="str">
        <f t="shared" si="2"/>
        <v/>
      </c>
      <c r="H35" s="452"/>
      <c r="J35" s="447"/>
      <c r="K35" s="448" t="str">
        <f t="shared" si="1"/>
        <v/>
      </c>
      <c r="L35" s="447"/>
      <c r="M35" s="447"/>
    </row>
    <row r="36" spans="2:13" x14ac:dyDescent="0.2">
      <c r="B36" s="51"/>
      <c r="C36" s="28"/>
      <c r="D36" s="22"/>
      <c r="E36" s="26"/>
      <c r="F36" s="573"/>
      <c r="G36" s="575"/>
      <c r="H36" s="18"/>
      <c r="J36" s="41"/>
      <c r="K36" s="46" t="str">
        <f t="shared" si="1"/>
        <v/>
      </c>
      <c r="L36" s="41"/>
      <c r="M36" s="41"/>
    </row>
    <row r="37" spans="2:13" ht="38.25" x14ac:dyDescent="0.2">
      <c r="B37" s="51" t="s">
        <v>227</v>
      </c>
      <c r="C37" s="28" t="s">
        <v>226</v>
      </c>
      <c r="D37" s="22" t="s">
        <v>6</v>
      </c>
      <c r="E37" s="23">
        <v>1300</v>
      </c>
      <c r="F37" s="580"/>
      <c r="G37" s="575">
        <f t="shared" si="2"/>
        <v>0</v>
      </c>
      <c r="H37" s="18"/>
      <c r="J37" s="41" t="e">
        <f>_GRail</f>
        <v>#NAME?</v>
      </c>
      <c r="K37" s="46" t="e">
        <f t="shared" si="1"/>
        <v>#NAME?</v>
      </c>
      <c r="L37" s="41"/>
      <c r="M37" s="41"/>
    </row>
    <row r="38" spans="2:13" x14ac:dyDescent="0.2">
      <c r="B38" s="59"/>
      <c r="C38" s="14"/>
      <c r="D38" s="15"/>
      <c r="E38" s="26"/>
      <c r="F38" s="573"/>
      <c r="G38" s="575" t="str">
        <f t="shared" ref="G38:G65" si="3">IF(D38="","",E38*F38)</f>
        <v/>
      </c>
      <c r="H38" s="18"/>
      <c r="J38" s="41"/>
      <c r="K38" s="46" t="str">
        <f t="shared" si="1"/>
        <v/>
      </c>
      <c r="L38" s="41"/>
      <c r="M38" s="41"/>
    </row>
    <row r="39" spans="2:13" s="30" customFormat="1" x14ac:dyDescent="0.2">
      <c r="B39" s="67" t="s">
        <v>225</v>
      </c>
      <c r="C39" s="456" t="s">
        <v>224</v>
      </c>
      <c r="D39" s="429"/>
      <c r="E39" s="451"/>
      <c r="F39" s="578"/>
      <c r="G39" s="579" t="str">
        <f t="shared" si="3"/>
        <v/>
      </c>
      <c r="H39" s="452"/>
      <c r="J39" s="447"/>
      <c r="K39" s="448" t="str">
        <f t="shared" si="1"/>
        <v/>
      </c>
      <c r="L39" s="447"/>
      <c r="M39" s="447"/>
    </row>
    <row r="40" spans="2:13" x14ac:dyDescent="0.2">
      <c r="B40" s="59"/>
      <c r="C40" s="14"/>
      <c r="D40" s="15"/>
      <c r="E40" s="26"/>
      <c r="F40" s="573"/>
      <c r="G40" s="575" t="str">
        <f t="shared" si="3"/>
        <v/>
      </c>
      <c r="H40" s="18"/>
      <c r="J40" s="41"/>
      <c r="K40" s="46" t="str">
        <f t="shared" si="1"/>
        <v/>
      </c>
      <c r="L40" s="41"/>
      <c r="M40" s="41"/>
    </row>
    <row r="41" spans="2:13" x14ac:dyDescent="0.2">
      <c r="B41" s="51" t="s">
        <v>223</v>
      </c>
      <c r="C41" s="14" t="s">
        <v>222</v>
      </c>
      <c r="D41" s="22" t="s">
        <v>33</v>
      </c>
      <c r="E41" s="26">
        <v>50</v>
      </c>
      <c r="F41" s="573"/>
      <c r="G41" s="575">
        <f t="shared" si="3"/>
        <v>0</v>
      </c>
      <c r="H41" s="18"/>
      <c r="J41" s="338" t="e">
        <f>_GPost</f>
        <v>#NAME?</v>
      </c>
      <c r="K41" s="46" t="e">
        <f t="shared" si="1"/>
        <v>#NAME?</v>
      </c>
      <c r="L41" s="41"/>
      <c r="M41" s="41"/>
    </row>
    <row r="42" spans="2:13" x14ac:dyDescent="0.2">
      <c r="B42" s="51"/>
      <c r="C42" s="14"/>
      <c r="D42" s="22"/>
      <c r="E42" s="26"/>
      <c r="F42" s="573"/>
      <c r="G42" s="575" t="str">
        <f t="shared" si="3"/>
        <v/>
      </c>
      <c r="H42" s="18"/>
      <c r="J42" s="338"/>
      <c r="K42" s="46"/>
      <c r="L42" s="41"/>
      <c r="M42" s="41"/>
    </row>
    <row r="43" spans="2:13" ht="25.5" x14ac:dyDescent="0.2">
      <c r="B43" s="51" t="s">
        <v>1007</v>
      </c>
      <c r="C43" s="14" t="s">
        <v>1008</v>
      </c>
      <c r="D43" s="22" t="s">
        <v>33</v>
      </c>
      <c r="E43" s="23">
        <v>50</v>
      </c>
      <c r="F43" s="580"/>
      <c r="G43" s="575">
        <f t="shared" si="3"/>
        <v>0</v>
      </c>
      <c r="H43" s="18"/>
      <c r="J43" s="338"/>
      <c r="K43" s="46"/>
      <c r="L43" s="41"/>
      <c r="M43" s="41"/>
    </row>
    <row r="44" spans="2:13" x14ac:dyDescent="0.2">
      <c r="B44" s="59"/>
      <c r="C44" s="14"/>
      <c r="D44" s="15"/>
      <c r="E44" s="26"/>
      <c r="F44" s="573"/>
      <c r="G44" s="575"/>
      <c r="H44" s="18"/>
      <c r="J44" s="41"/>
      <c r="K44" s="46" t="str">
        <f t="shared" si="1"/>
        <v/>
      </c>
      <c r="L44" s="41"/>
      <c r="M44" s="41"/>
    </row>
    <row r="45" spans="2:13" x14ac:dyDescent="0.2">
      <c r="B45" s="67" t="s">
        <v>221</v>
      </c>
      <c r="C45" s="20" t="s">
        <v>215</v>
      </c>
      <c r="D45" s="22"/>
      <c r="E45" s="26"/>
      <c r="F45" s="573"/>
      <c r="G45" s="575" t="str">
        <f t="shared" si="3"/>
        <v/>
      </c>
      <c r="H45" s="18"/>
      <c r="J45" s="41"/>
      <c r="K45" s="46" t="str">
        <f t="shared" si="1"/>
        <v/>
      </c>
      <c r="L45" s="41"/>
      <c r="M45" s="41"/>
    </row>
    <row r="46" spans="2:13" x14ac:dyDescent="0.2">
      <c r="B46" s="59"/>
      <c r="C46" s="14"/>
      <c r="D46" s="15"/>
      <c r="E46" s="26"/>
      <c r="F46" s="573"/>
      <c r="G46" s="575" t="str">
        <f t="shared" si="3"/>
        <v/>
      </c>
      <c r="H46" s="18"/>
      <c r="J46" s="41"/>
      <c r="K46" s="46" t="str">
        <f t="shared" si="1"/>
        <v/>
      </c>
      <c r="L46" s="41"/>
      <c r="M46" s="41"/>
    </row>
    <row r="47" spans="2:13" x14ac:dyDescent="0.2">
      <c r="B47" s="51" t="s">
        <v>220</v>
      </c>
      <c r="C47" s="28" t="s">
        <v>219</v>
      </c>
      <c r="D47" s="22" t="s">
        <v>33</v>
      </c>
      <c r="E47" s="26">
        <v>2500</v>
      </c>
      <c r="F47" s="573"/>
      <c r="G47" s="575">
        <f t="shared" si="3"/>
        <v>0</v>
      </c>
      <c r="H47" s="18"/>
      <c r="J47" s="346">
        <f>F47*5%</f>
        <v>0</v>
      </c>
      <c r="K47" s="46">
        <f t="shared" si="1"/>
        <v>0</v>
      </c>
      <c r="L47" s="41"/>
      <c r="M47" s="41"/>
    </row>
    <row r="48" spans="2:13" x14ac:dyDescent="0.2">
      <c r="B48" s="59"/>
      <c r="C48" s="120"/>
      <c r="D48" s="15"/>
      <c r="E48" s="15"/>
      <c r="F48" s="573"/>
      <c r="G48" s="575" t="str">
        <f t="shared" si="3"/>
        <v/>
      </c>
      <c r="H48" s="18"/>
      <c r="J48" s="41"/>
      <c r="K48" s="46" t="str">
        <f t="shared" si="1"/>
        <v/>
      </c>
      <c r="L48" s="41"/>
      <c r="M48" s="41"/>
    </row>
    <row r="49" spans="2:11" x14ac:dyDescent="0.2">
      <c r="B49" s="67" t="s">
        <v>218</v>
      </c>
      <c r="C49" s="20" t="s">
        <v>217</v>
      </c>
      <c r="D49" s="22" t="s">
        <v>6</v>
      </c>
      <c r="E49" s="61">
        <v>3048</v>
      </c>
      <c r="F49" s="573"/>
      <c r="G49" s="575">
        <f t="shared" si="3"/>
        <v>0</v>
      </c>
      <c r="H49" s="66"/>
      <c r="J49" s="1" t="e">
        <f>_GRail</f>
        <v>#NAME?</v>
      </c>
      <c r="K49" s="46" t="e">
        <f t="shared" si="1"/>
        <v>#NAME?</v>
      </c>
    </row>
    <row r="50" spans="2:11" x14ac:dyDescent="0.2">
      <c r="B50" s="51"/>
      <c r="C50" s="120"/>
      <c r="D50" s="22"/>
      <c r="E50" s="61"/>
      <c r="F50" s="573"/>
      <c r="G50" s="575" t="str">
        <f t="shared" si="3"/>
        <v/>
      </c>
      <c r="H50" s="66"/>
      <c r="K50" s="46"/>
    </row>
    <row r="51" spans="2:11" s="30" customFormat="1" x14ac:dyDescent="0.2">
      <c r="B51" s="67" t="s">
        <v>1009</v>
      </c>
      <c r="C51" s="501" t="s">
        <v>1010</v>
      </c>
      <c r="D51" s="429"/>
      <c r="E51" s="457"/>
      <c r="F51" s="578"/>
      <c r="G51" s="579" t="str">
        <f t="shared" si="3"/>
        <v/>
      </c>
      <c r="H51" s="502"/>
      <c r="K51" s="448"/>
    </row>
    <row r="52" spans="2:11" x14ac:dyDescent="0.2">
      <c r="B52" s="51"/>
      <c r="C52" s="120"/>
      <c r="D52" s="22"/>
      <c r="E52" s="61"/>
      <c r="F52" s="573"/>
      <c r="G52" s="575" t="str">
        <f t="shared" si="3"/>
        <v/>
      </c>
      <c r="H52" s="66"/>
      <c r="K52" s="46"/>
    </row>
    <row r="53" spans="2:11" x14ac:dyDescent="0.2">
      <c r="B53" s="51" t="s">
        <v>1011</v>
      </c>
      <c r="C53" s="120" t="s">
        <v>1012</v>
      </c>
      <c r="D53" s="22" t="s">
        <v>6</v>
      </c>
      <c r="E53" s="61">
        <v>1200</v>
      </c>
      <c r="F53" s="573"/>
      <c r="G53" s="575">
        <f t="shared" si="3"/>
        <v>0</v>
      </c>
      <c r="H53" s="66"/>
      <c r="K53" s="46"/>
    </row>
    <row r="54" spans="2:11" x14ac:dyDescent="0.2">
      <c r="B54" s="51"/>
      <c r="C54" s="120"/>
      <c r="D54" s="22"/>
      <c r="E54" s="61"/>
      <c r="F54" s="573"/>
      <c r="G54" s="575" t="str">
        <f t="shared" si="3"/>
        <v/>
      </c>
      <c r="H54" s="66"/>
      <c r="K54" s="46"/>
    </row>
    <row r="55" spans="2:11" ht="24" x14ac:dyDescent="0.2">
      <c r="B55" s="98" t="s">
        <v>630</v>
      </c>
      <c r="C55" s="97" t="s">
        <v>631</v>
      </c>
      <c r="D55" s="94"/>
      <c r="E55" s="61"/>
      <c r="F55" s="573"/>
      <c r="G55" s="575" t="str">
        <f t="shared" si="3"/>
        <v/>
      </c>
      <c r="H55" s="66"/>
      <c r="K55" s="46"/>
    </row>
    <row r="56" spans="2:11" x14ac:dyDescent="0.2">
      <c r="B56" s="160"/>
      <c r="C56" s="93"/>
      <c r="D56" s="92"/>
      <c r="E56" s="61"/>
      <c r="F56" s="573"/>
      <c r="G56" s="575" t="str">
        <f t="shared" si="3"/>
        <v/>
      </c>
      <c r="H56" s="66"/>
      <c r="K56" s="46"/>
    </row>
    <row r="57" spans="2:11" x14ac:dyDescent="0.2">
      <c r="B57" s="95" t="s">
        <v>632</v>
      </c>
      <c r="C57" s="126" t="s">
        <v>633</v>
      </c>
      <c r="D57" s="94" t="s">
        <v>6</v>
      </c>
      <c r="E57" s="61">
        <v>1800</v>
      </c>
      <c r="F57" s="573"/>
      <c r="G57" s="575">
        <f t="shared" si="3"/>
        <v>0</v>
      </c>
      <c r="H57" s="66"/>
      <c r="K57" s="46"/>
    </row>
    <row r="58" spans="2:11" x14ac:dyDescent="0.2">
      <c r="B58" s="51"/>
      <c r="C58" s="120"/>
      <c r="D58" s="22"/>
      <c r="E58" s="61"/>
      <c r="F58" s="573"/>
      <c r="G58" s="575" t="str">
        <f t="shared" si="3"/>
        <v/>
      </c>
      <c r="H58" s="66"/>
      <c r="K58" s="46"/>
    </row>
    <row r="59" spans="2:11" ht="24" x14ac:dyDescent="0.2">
      <c r="B59" s="160" t="s">
        <v>634</v>
      </c>
      <c r="C59" s="126" t="s">
        <v>635</v>
      </c>
      <c r="D59" s="92" t="s">
        <v>6</v>
      </c>
      <c r="E59" s="61">
        <v>1800</v>
      </c>
      <c r="F59" s="573"/>
      <c r="G59" s="575">
        <f t="shared" si="3"/>
        <v>0</v>
      </c>
      <c r="H59" s="66"/>
      <c r="K59" s="46"/>
    </row>
    <row r="60" spans="2:11" x14ac:dyDescent="0.2">
      <c r="B60" s="376"/>
      <c r="C60" s="93"/>
      <c r="D60" s="92"/>
      <c r="E60" s="61"/>
      <c r="F60" s="573"/>
      <c r="G60" s="575"/>
      <c r="H60" s="66"/>
      <c r="K60" s="46"/>
    </row>
    <row r="61" spans="2:11" x14ac:dyDescent="0.2">
      <c r="B61" s="376"/>
      <c r="C61" s="93"/>
      <c r="D61" s="92"/>
      <c r="E61" s="61"/>
      <c r="F61" s="573"/>
      <c r="G61" s="575"/>
      <c r="H61" s="66"/>
      <c r="K61" s="46"/>
    </row>
    <row r="62" spans="2:11" x14ac:dyDescent="0.2">
      <c r="B62" s="160"/>
      <c r="C62" s="377"/>
      <c r="D62" s="92"/>
      <c r="E62" s="61"/>
      <c r="F62" s="573"/>
      <c r="G62" s="575"/>
      <c r="H62" s="66"/>
      <c r="K62" s="46"/>
    </row>
    <row r="63" spans="2:11" x14ac:dyDescent="0.2">
      <c r="B63" s="160"/>
      <c r="C63" s="93"/>
      <c r="D63" s="92"/>
      <c r="E63" s="61"/>
      <c r="F63" s="573"/>
      <c r="G63" s="575"/>
      <c r="H63" s="66"/>
      <c r="K63" s="46"/>
    </row>
    <row r="64" spans="2:11" x14ac:dyDescent="0.2">
      <c r="B64" s="378"/>
      <c r="C64" s="93"/>
      <c r="D64" s="94"/>
      <c r="E64" s="61"/>
      <c r="F64" s="573"/>
      <c r="G64" s="575"/>
      <c r="H64" s="66"/>
      <c r="K64" s="46"/>
    </row>
    <row r="65" spans="2:11" x14ac:dyDescent="0.2">
      <c r="B65" s="51"/>
      <c r="C65" s="14"/>
      <c r="D65" s="15"/>
      <c r="E65" s="15"/>
      <c r="F65" s="573"/>
      <c r="G65" s="575" t="str">
        <f t="shared" si="3"/>
        <v/>
      </c>
      <c r="H65" s="18"/>
      <c r="K65" s="46" t="str">
        <f t="shared" si="1"/>
        <v/>
      </c>
    </row>
    <row r="66" spans="2:11" s="30" customFormat="1" ht="19.5" customHeight="1" x14ac:dyDescent="0.2">
      <c r="B66" s="121" t="str">
        <f>$B$11</f>
        <v>C11.4</v>
      </c>
      <c r="C66" s="32" t="str">
        <f>"TOTAL CARRIED FORWARD"&amp;IF(G66=G$1," TO SUMMARY (Page C"&amp;Page_A&amp;")","")</f>
        <v>TOTAL CARRIED FORWARD TO SUMMARY (Page C49)</v>
      </c>
      <c r="D66" s="33"/>
      <c r="E66" s="34"/>
      <c r="F66" s="576"/>
      <c r="G66" s="577">
        <f>SUM(G10:G65)</f>
        <v>0</v>
      </c>
      <c r="H66" s="36"/>
      <c r="K66" s="35" t="e">
        <f>SUM(K10:K65)</f>
        <v>#NAME?</v>
      </c>
    </row>
    <row r="67" spans="2:11" x14ac:dyDescent="0.2">
      <c r="B67" s="689" t="str">
        <f>Client1</f>
        <v>Province of KwaZulu-Natal</v>
      </c>
      <c r="C67" s="689"/>
      <c r="D67" s="689"/>
      <c r="E67" s="687" t="str">
        <f>"Contract No. "&amp;ContractNo</f>
        <v>Contract No. ZNB02287/00000/00/MET/INF/24/T</v>
      </c>
      <c r="F67" s="687"/>
      <c r="G67" s="687"/>
    </row>
    <row r="68" spans="2:11" x14ac:dyDescent="0.2">
      <c r="B68" s="689" t="str">
        <f>Client2</f>
        <v>Department of Transport</v>
      </c>
      <c r="C68" s="689"/>
      <c r="D68" s="689"/>
      <c r="E68" s="687"/>
      <c r="F68" s="687"/>
      <c r="G68" s="687"/>
    </row>
    <row r="69" spans="2:11" x14ac:dyDescent="0.2">
      <c r="B69" s="690"/>
      <c r="C69" s="690"/>
      <c r="D69" s="690"/>
      <c r="E69" s="688"/>
      <c r="F69" s="688"/>
      <c r="G69" s="688"/>
    </row>
    <row r="70" spans="2:11" x14ac:dyDescent="0.2">
      <c r="B70" s="698" t="s">
        <v>8</v>
      </c>
      <c r="C70" s="699"/>
      <c r="D70" s="699"/>
      <c r="E70" s="699"/>
      <c r="F70" s="699"/>
      <c r="G70" s="700" t="str">
        <f>G5</f>
        <v>CHAPTER C11.4</v>
      </c>
      <c r="H70" s="6"/>
    </row>
    <row r="71" spans="2:11" x14ac:dyDescent="0.2">
      <c r="B71" s="691" t="str">
        <f>ContractDescription</f>
        <v>PROVISION OF ROUTINE AND SAFETY MAINTENANCE ON MIAN ROAD P3/1 (KM 69.00 TO KM 77.96), P3/2 (KM 0.00 TO KM 11.50), P21/2(KM 0.00 TO KM 29.83 IN THE ETHEKWINI METRO - DURBAN REGION</v>
      </c>
      <c r="C71" s="692"/>
      <c r="D71" s="692"/>
      <c r="E71" s="692"/>
      <c r="F71" s="692"/>
      <c r="G71" s="701"/>
      <c r="H71" s="8"/>
    </row>
    <row r="72" spans="2:11" x14ac:dyDescent="0.2">
      <c r="B72" s="691"/>
      <c r="C72" s="692"/>
      <c r="D72" s="692"/>
      <c r="E72" s="692"/>
      <c r="F72" s="692"/>
      <c r="G72" s="701"/>
      <c r="H72" s="8"/>
    </row>
    <row r="73" spans="2:11" x14ac:dyDescent="0.2">
      <c r="B73" s="693"/>
      <c r="C73" s="694"/>
      <c r="D73" s="694"/>
      <c r="E73" s="694"/>
      <c r="F73" s="694"/>
      <c r="G73" s="702"/>
      <c r="H73" s="8"/>
    </row>
    <row r="74" spans="2:11" x14ac:dyDescent="0.2">
      <c r="B74" s="68" t="s">
        <v>0</v>
      </c>
      <c r="C74" s="11" t="s">
        <v>1</v>
      </c>
      <c r="D74" s="11" t="s">
        <v>2</v>
      </c>
      <c r="E74" s="11" t="s">
        <v>3</v>
      </c>
      <c r="F74" s="11" t="s">
        <v>4</v>
      </c>
      <c r="G74" s="11" t="s">
        <v>5</v>
      </c>
      <c r="H74" s="12"/>
    </row>
    <row r="75" spans="2:11" x14ac:dyDescent="0.2">
      <c r="B75" s="74"/>
      <c r="C75" s="32" t="s">
        <v>26</v>
      </c>
      <c r="D75" s="33"/>
      <c r="E75" s="34"/>
      <c r="F75" s="33"/>
      <c r="G75" s="352">
        <f>G66</f>
        <v>0</v>
      </c>
      <c r="H75" s="36"/>
    </row>
    <row r="76" spans="2:11" x14ac:dyDescent="0.2">
      <c r="B76" s="470"/>
      <c r="C76" s="30"/>
      <c r="D76" s="463"/>
      <c r="E76" s="257"/>
      <c r="F76" s="581"/>
      <c r="G76" s="575"/>
      <c r="H76" s="36"/>
    </row>
    <row r="77" spans="2:11" ht="24" x14ac:dyDescent="0.2">
      <c r="B77" s="159" t="s">
        <v>636</v>
      </c>
      <c r="C77" s="375" t="s">
        <v>637</v>
      </c>
      <c r="D77" s="92"/>
      <c r="E77" s="61"/>
      <c r="F77" s="573"/>
      <c r="G77" s="575"/>
      <c r="H77" s="36"/>
    </row>
    <row r="78" spans="2:11" x14ac:dyDescent="0.2">
      <c r="B78" s="159"/>
      <c r="C78" s="375"/>
      <c r="D78" s="92"/>
      <c r="E78" s="61"/>
      <c r="F78" s="573"/>
      <c r="G78" s="575"/>
      <c r="H78" s="36"/>
    </row>
    <row r="79" spans="2:11" x14ac:dyDescent="0.2">
      <c r="B79" s="95" t="s">
        <v>638</v>
      </c>
      <c r="C79" s="126" t="s">
        <v>639</v>
      </c>
      <c r="D79" s="94" t="s">
        <v>33</v>
      </c>
      <c r="E79" s="61">
        <v>8</v>
      </c>
      <c r="F79" s="573"/>
      <c r="G79" s="575">
        <f t="shared" ref="G79:G92" si="4">IF(D79="","",E79*F79)</f>
        <v>0</v>
      </c>
      <c r="H79" s="36"/>
    </row>
    <row r="80" spans="2:11" x14ac:dyDescent="0.2">
      <c r="B80" s="95"/>
      <c r="C80" s="93"/>
      <c r="D80" s="92"/>
      <c r="E80" s="61"/>
      <c r="F80" s="573"/>
      <c r="G80" s="575" t="str">
        <f t="shared" si="4"/>
        <v/>
      </c>
      <c r="H80" s="36"/>
    </row>
    <row r="81" spans="2:8" x14ac:dyDescent="0.2">
      <c r="B81" s="95" t="s">
        <v>640</v>
      </c>
      <c r="C81" s="93" t="s">
        <v>641</v>
      </c>
      <c r="D81" s="92" t="s">
        <v>33</v>
      </c>
      <c r="E81" s="61">
        <v>4</v>
      </c>
      <c r="F81" s="573"/>
      <c r="G81" s="575">
        <f t="shared" si="4"/>
        <v>0</v>
      </c>
      <c r="H81" s="36"/>
    </row>
    <row r="82" spans="2:8" x14ac:dyDescent="0.2">
      <c r="B82" s="95"/>
      <c r="C82" s="93"/>
      <c r="D82" s="92"/>
      <c r="E82" s="61"/>
      <c r="F82" s="573"/>
      <c r="G82" s="575" t="str">
        <f t="shared" si="4"/>
        <v/>
      </c>
      <c r="H82" s="36"/>
    </row>
    <row r="83" spans="2:8" x14ac:dyDescent="0.2">
      <c r="B83" s="102" t="s">
        <v>216</v>
      </c>
      <c r="C83" s="377" t="s">
        <v>642</v>
      </c>
      <c r="D83" s="92" t="s">
        <v>33</v>
      </c>
      <c r="E83" s="61">
        <v>2</v>
      </c>
      <c r="F83" s="573"/>
      <c r="G83" s="575">
        <f t="shared" si="4"/>
        <v>0</v>
      </c>
      <c r="H83" s="36"/>
    </row>
    <row r="84" spans="2:8" x14ac:dyDescent="0.2">
      <c r="B84" s="102"/>
      <c r="C84" s="93"/>
      <c r="D84" s="92"/>
      <c r="E84" s="61"/>
      <c r="F84" s="573"/>
      <c r="G84" s="575" t="str">
        <f t="shared" si="4"/>
        <v/>
      </c>
      <c r="H84" s="36"/>
    </row>
    <row r="85" spans="2:8" x14ac:dyDescent="0.2">
      <c r="B85" s="95" t="s">
        <v>643</v>
      </c>
      <c r="C85" s="93" t="s">
        <v>644</v>
      </c>
      <c r="D85" s="94" t="s">
        <v>33</v>
      </c>
      <c r="E85" s="61">
        <v>2</v>
      </c>
      <c r="F85" s="573"/>
      <c r="G85" s="575">
        <f t="shared" si="4"/>
        <v>0</v>
      </c>
      <c r="H85" s="36"/>
    </row>
    <row r="86" spans="2:8" x14ac:dyDescent="0.2">
      <c r="B86" s="95"/>
      <c r="C86" s="93"/>
      <c r="D86" s="94"/>
      <c r="E86" s="61"/>
      <c r="F86" s="573"/>
      <c r="G86" s="575" t="str">
        <f t="shared" si="4"/>
        <v/>
      </c>
      <c r="H86" s="36"/>
    </row>
    <row r="87" spans="2:8" x14ac:dyDescent="0.2">
      <c r="B87" s="95" t="s">
        <v>1013</v>
      </c>
      <c r="C87" s="93" t="s">
        <v>662</v>
      </c>
      <c r="D87" s="94" t="s">
        <v>33</v>
      </c>
      <c r="E87" s="61">
        <v>2</v>
      </c>
      <c r="F87" s="573"/>
      <c r="G87" s="575">
        <f t="shared" si="4"/>
        <v>0</v>
      </c>
      <c r="H87" s="36"/>
    </row>
    <row r="88" spans="2:8" x14ac:dyDescent="0.2">
      <c r="B88" s="95"/>
      <c r="C88" s="93"/>
      <c r="D88" s="94"/>
      <c r="E88" s="61"/>
      <c r="F88" s="573"/>
      <c r="G88" s="575" t="str">
        <f t="shared" si="4"/>
        <v/>
      </c>
      <c r="H88" s="36"/>
    </row>
    <row r="89" spans="2:8" ht="36" x14ac:dyDescent="0.2">
      <c r="B89" s="95" t="s">
        <v>1014</v>
      </c>
      <c r="C89" s="93" t="s">
        <v>1015</v>
      </c>
      <c r="D89" s="94" t="s">
        <v>33</v>
      </c>
      <c r="E89" s="61">
        <v>2</v>
      </c>
      <c r="F89" s="573"/>
      <c r="G89" s="575">
        <f t="shared" si="4"/>
        <v>0</v>
      </c>
      <c r="H89" s="36"/>
    </row>
    <row r="90" spans="2:8" x14ac:dyDescent="0.2">
      <c r="B90" s="51"/>
      <c r="C90" s="14"/>
      <c r="D90" s="22"/>
      <c r="E90" s="22"/>
      <c r="F90" s="573"/>
      <c r="G90" s="575" t="str">
        <f t="shared" si="4"/>
        <v/>
      </c>
      <c r="H90" s="42"/>
    </row>
    <row r="91" spans="2:8" ht="24" x14ac:dyDescent="0.2">
      <c r="B91" s="98" t="s">
        <v>652</v>
      </c>
      <c r="C91" s="375" t="s">
        <v>653</v>
      </c>
      <c r="D91" s="94"/>
      <c r="E91" s="61"/>
      <c r="F91" s="573"/>
      <c r="G91" s="575" t="str">
        <f t="shared" si="4"/>
        <v/>
      </c>
      <c r="H91" s="42"/>
    </row>
    <row r="92" spans="2:8" x14ac:dyDescent="0.2">
      <c r="B92" s="102"/>
      <c r="C92" s="380"/>
      <c r="D92" s="91"/>
      <c r="E92" s="22"/>
      <c r="F92" s="573"/>
      <c r="G92" s="575" t="str">
        <f t="shared" si="4"/>
        <v/>
      </c>
      <c r="H92" s="42"/>
    </row>
    <row r="93" spans="2:8" x14ac:dyDescent="0.2">
      <c r="B93" s="95" t="s">
        <v>654</v>
      </c>
      <c r="C93" s="93" t="s">
        <v>655</v>
      </c>
      <c r="D93" s="94" t="s">
        <v>33</v>
      </c>
      <c r="E93" s="22">
        <v>3</v>
      </c>
      <c r="F93" s="573"/>
      <c r="G93" s="575">
        <f t="shared" ref="G93:G103" si="5">IF(D93="","",E93*F93)</f>
        <v>0</v>
      </c>
      <c r="H93" s="42"/>
    </row>
    <row r="94" spans="2:8" x14ac:dyDescent="0.2">
      <c r="B94" s="102"/>
      <c r="C94" s="93"/>
      <c r="D94" s="92"/>
      <c r="E94" s="22"/>
      <c r="F94" s="573"/>
      <c r="G94" s="575" t="str">
        <f t="shared" si="5"/>
        <v/>
      </c>
      <c r="H94" s="42"/>
    </row>
    <row r="95" spans="2:8" x14ac:dyDescent="0.2">
      <c r="B95" s="95" t="s">
        <v>656</v>
      </c>
      <c r="C95" s="126" t="s">
        <v>657</v>
      </c>
      <c r="D95" s="94" t="s">
        <v>33</v>
      </c>
      <c r="E95" s="22">
        <v>300</v>
      </c>
      <c r="F95" s="573"/>
      <c r="G95" s="575">
        <f t="shared" si="5"/>
        <v>0</v>
      </c>
      <c r="H95" s="150"/>
    </row>
    <row r="96" spans="2:8" x14ac:dyDescent="0.2">
      <c r="B96" s="102"/>
      <c r="C96" s="93"/>
      <c r="D96" s="92"/>
      <c r="E96" s="22"/>
      <c r="F96" s="573"/>
      <c r="G96" s="575" t="str">
        <f t="shared" si="5"/>
        <v/>
      </c>
      <c r="H96" s="150"/>
    </row>
    <row r="97" spans="2:8" hidden="1" x14ac:dyDescent="0.2">
      <c r="B97" s="95" t="s">
        <v>658</v>
      </c>
      <c r="C97" s="93" t="s">
        <v>659</v>
      </c>
      <c r="D97" s="94" t="s">
        <v>33</v>
      </c>
      <c r="E97" s="22">
        <v>0</v>
      </c>
      <c r="F97" s="573"/>
      <c r="G97" s="575">
        <f t="shared" si="5"/>
        <v>0</v>
      </c>
      <c r="H97" s="150"/>
    </row>
    <row r="98" spans="2:8" x14ac:dyDescent="0.2">
      <c r="B98" s="102"/>
      <c r="C98" s="93"/>
      <c r="D98" s="92"/>
      <c r="E98" s="22"/>
      <c r="F98" s="573"/>
      <c r="G98" s="575" t="str">
        <f t="shared" si="5"/>
        <v/>
      </c>
      <c r="H98" s="150"/>
    </row>
    <row r="99" spans="2:8" x14ac:dyDescent="0.2">
      <c r="B99" s="95" t="s">
        <v>645</v>
      </c>
      <c r="C99" s="93" t="s">
        <v>215</v>
      </c>
      <c r="D99" s="94" t="s">
        <v>33</v>
      </c>
      <c r="E99" s="22">
        <v>300</v>
      </c>
      <c r="F99" s="573"/>
      <c r="G99" s="575">
        <f t="shared" si="5"/>
        <v>0</v>
      </c>
      <c r="H99" s="150"/>
    </row>
    <row r="100" spans="2:8" x14ac:dyDescent="0.2">
      <c r="B100" s="102"/>
      <c r="C100" s="93"/>
      <c r="D100" s="92"/>
      <c r="E100" s="22"/>
      <c r="F100" s="573"/>
      <c r="G100" s="575" t="str">
        <f t="shared" si="5"/>
        <v/>
      </c>
      <c r="H100" s="150"/>
    </row>
    <row r="101" spans="2:8" x14ac:dyDescent="0.2">
      <c r="B101" s="95" t="s">
        <v>646</v>
      </c>
      <c r="C101" s="93" t="s">
        <v>647</v>
      </c>
      <c r="D101" s="94" t="s">
        <v>33</v>
      </c>
      <c r="E101" s="22">
        <v>200</v>
      </c>
      <c r="F101" s="573"/>
      <c r="G101" s="575">
        <f t="shared" si="5"/>
        <v>0</v>
      </c>
      <c r="H101" s="150"/>
    </row>
    <row r="102" spans="2:8" x14ac:dyDescent="0.2">
      <c r="B102" s="102"/>
      <c r="D102" s="92"/>
      <c r="E102" s="22"/>
      <c r="F102" s="573"/>
      <c r="G102" s="575" t="str">
        <f t="shared" si="5"/>
        <v/>
      </c>
      <c r="H102" s="150"/>
    </row>
    <row r="103" spans="2:8" ht="24" x14ac:dyDescent="0.2">
      <c r="B103" s="95" t="s">
        <v>648</v>
      </c>
      <c r="C103" s="126" t="s">
        <v>649</v>
      </c>
      <c r="D103" s="94" t="s">
        <v>33</v>
      </c>
      <c r="E103" s="22">
        <v>1800</v>
      </c>
      <c r="F103" s="573"/>
      <c r="G103" s="575">
        <f t="shared" si="5"/>
        <v>0</v>
      </c>
      <c r="H103" s="150"/>
    </row>
    <row r="104" spans="2:8" x14ac:dyDescent="0.2">
      <c r="B104" s="102"/>
      <c r="C104" s="93"/>
      <c r="D104" s="92"/>
      <c r="E104" s="22"/>
      <c r="F104" s="573"/>
      <c r="G104" s="575"/>
      <c r="H104" s="150"/>
    </row>
    <row r="105" spans="2:8" ht="24" x14ac:dyDescent="0.2">
      <c r="B105" s="95" t="s">
        <v>650</v>
      </c>
      <c r="C105" s="93" t="s">
        <v>651</v>
      </c>
      <c r="D105" s="94" t="s">
        <v>33</v>
      </c>
      <c r="E105" s="22">
        <v>200</v>
      </c>
      <c r="F105" s="573"/>
      <c r="G105" s="575">
        <f t="shared" ref="G105:G114" si="6">IF(D105="","",E105*F105)</f>
        <v>0</v>
      </c>
      <c r="H105" s="150"/>
    </row>
    <row r="106" spans="2:8" x14ac:dyDescent="0.2">
      <c r="B106" s="95"/>
      <c r="C106" s="93"/>
      <c r="D106" s="94"/>
      <c r="E106" s="22"/>
      <c r="F106" s="573"/>
      <c r="G106" s="575" t="str">
        <f t="shared" si="6"/>
        <v/>
      </c>
      <c r="H106" s="150"/>
    </row>
    <row r="107" spans="2:8" x14ac:dyDescent="0.2">
      <c r="B107" s="95" t="s">
        <v>1016</v>
      </c>
      <c r="C107" s="93" t="s">
        <v>1017</v>
      </c>
      <c r="D107" s="94" t="s">
        <v>33</v>
      </c>
      <c r="E107" s="22">
        <v>300</v>
      </c>
      <c r="F107" s="573"/>
      <c r="G107" s="575">
        <f t="shared" si="6"/>
        <v>0</v>
      </c>
      <c r="H107" s="150"/>
    </row>
    <row r="108" spans="2:8" x14ac:dyDescent="0.2">
      <c r="B108" s="160"/>
      <c r="C108" s="93"/>
      <c r="D108" s="92"/>
      <c r="E108" s="22"/>
      <c r="F108" s="573"/>
      <c r="G108" s="575" t="str">
        <f t="shared" si="6"/>
        <v/>
      </c>
      <c r="H108" s="42"/>
    </row>
    <row r="109" spans="2:8" x14ac:dyDescent="0.2">
      <c r="B109" s="98" t="s">
        <v>660</v>
      </c>
      <c r="C109" s="375" t="s">
        <v>661</v>
      </c>
      <c r="D109" s="94"/>
      <c r="E109" s="22"/>
      <c r="F109" s="573"/>
      <c r="G109" s="575" t="str">
        <f t="shared" si="6"/>
        <v/>
      </c>
      <c r="H109" s="42"/>
    </row>
    <row r="110" spans="2:8" x14ac:dyDescent="0.2">
      <c r="B110" s="160"/>
      <c r="C110" s="93"/>
      <c r="D110" s="92"/>
      <c r="E110" s="22"/>
      <c r="F110" s="573"/>
      <c r="G110" s="575" t="str">
        <f t="shared" si="6"/>
        <v/>
      </c>
      <c r="H110" s="42"/>
    </row>
    <row r="111" spans="2:8" hidden="1" x14ac:dyDescent="0.2">
      <c r="B111" s="95" t="s">
        <v>1018</v>
      </c>
      <c r="C111" s="93" t="s">
        <v>1019</v>
      </c>
      <c r="D111" s="94" t="s">
        <v>33</v>
      </c>
      <c r="E111" s="22">
        <v>0</v>
      </c>
      <c r="F111" s="573"/>
      <c r="G111" s="575">
        <f t="shared" si="6"/>
        <v>0</v>
      </c>
      <c r="H111" s="42"/>
    </row>
    <row r="112" spans="2:8" x14ac:dyDescent="0.2">
      <c r="B112" s="160"/>
      <c r="C112" s="93"/>
      <c r="D112" s="92"/>
      <c r="E112" s="22"/>
      <c r="F112" s="573"/>
      <c r="G112" s="575" t="str">
        <f t="shared" si="6"/>
        <v/>
      </c>
      <c r="H112" s="42"/>
    </row>
    <row r="113" spans="2:8" x14ac:dyDescent="0.2">
      <c r="B113" s="160" t="s">
        <v>1020</v>
      </c>
      <c r="C113" s="380" t="s">
        <v>1021</v>
      </c>
      <c r="D113" s="92" t="s">
        <v>33</v>
      </c>
      <c r="E113" s="22">
        <v>1400</v>
      </c>
      <c r="F113" s="573"/>
      <c r="G113" s="575">
        <f t="shared" si="6"/>
        <v>0</v>
      </c>
      <c r="H113" s="42"/>
    </row>
    <row r="114" spans="2:8" x14ac:dyDescent="0.2">
      <c r="B114" s="160"/>
      <c r="C114" s="126"/>
      <c r="D114" s="92"/>
      <c r="E114" s="22"/>
      <c r="F114" s="573"/>
      <c r="G114" s="575" t="str">
        <f t="shared" si="6"/>
        <v/>
      </c>
      <c r="H114" s="42"/>
    </row>
    <row r="115" spans="2:8" x14ac:dyDescent="0.2">
      <c r="B115" s="102"/>
      <c r="C115" s="126"/>
      <c r="D115" s="92"/>
      <c r="E115" s="22"/>
      <c r="F115" s="573"/>
      <c r="G115" s="575"/>
      <c r="H115" s="42"/>
    </row>
    <row r="116" spans="2:8" x14ac:dyDescent="0.2">
      <c r="B116" s="51"/>
      <c r="C116" s="14"/>
      <c r="D116" s="22"/>
      <c r="E116" s="22"/>
      <c r="F116" s="573"/>
      <c r="G116" s="575"/>
      <c r="H116" s="42"/>
    </row>
    <row r="117" spans="2:8" x14ac:dyDescent="0.2">
      <c r="B117" s="51"/>
      <c r="C117" s="14"/>
      <c r="D117" s="22"/>
      <c r="E117" s="22"/>
      <c r="F117" s="573"/>
      <c r="G117" s="575" t="str">
        <f t="shared" ref="G117:G120" si="7">IF(D117="","",E117*F117)</f>
        <v/>
      </c>
      <c r="H117" s="42"/>
    </row>
    <row r="118" spans="2:8" x14ac:dyDescent="0.2">
      <c r="B118" s="69"/>
      <c r="C118" s="14"/>
      <c r="D118" s="22"/>
      <c r="E118" s="22"/>
      <c r="F118" s="573"/>
      <c r="G118" s="575" t="str">
        <f t="shared" si="7"/>
        <v/>
      </c>
      <c r="H118" s="42"/>
    </row>
    <row r="119" spans="2:8" x14ac:dyDescent="0.2">
      <c r="B119" s="69"/>
      <c r="C119" s="14"/>
      <c r="D119" s="22"/>
      <c r="E119" s="151"/>
      <c r="F119" s="573"/>
      <c r="G119" s="575" t="str">
        <f t="shared" si="7"/>
        <v/>
      </c>
      <c r="H119" s="42"/>
    </row>
    <row r="120" spans="2:8" x14ac:dyDescent="0.2">
      <c r="B120" s="51"/>
      <c r="C120" s="14"/>
      <c r="D120" s="22"/>
      <c r="E120" s="22"/>
      <c r="F120" s="580"/>
      <c r="G120" s="575" t="str">
        <f t="shared" si="7"/>
        <v/>
      </c>
      <c r="H120" s="42"/>
    </row>
    <row r="121" spans="2:8" x14ac:dyDescent="0.2">
      <c r="B121" s="74" t="str">
        <f>B66</f>
        <v>C11.4</v>
      </c>
      <c r="C121" s="32" t="s">
        <v>700</v>
      </c>
      <c r="D121" s="33"/>
      <c r="E121" s="34"/>
      <c r="F121" s="576"/>
      <c r="G121" s="577">
        <f>SUM(G75:G120)</f>
        <v>0</v>
      </c>
      <c r="H121" s="36"/>
    </row>
  </sheetData>
  <mergeCells count="11">
    <mergeCell ref="B70:F70"/>
    <mergeCell ref="G70:G73"/>
    <mergeCell ref="B71:F73"/>
    <mergeCell ref="E2:G2"/>
    <mergeCell ref="G5:G8"/>
    <mergeCell ref="B5:F5"/>
    <mergeCell ref="B6:F8"/>
    <mergeCell ref="B67:D67"/>
    <mergeCell ref="E67:G69"/>
    <mergeCell ref="B68:D68"/>
    <mergeCell ref="B69:D69"/>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6" max="6" man="1"/>
  </rowBreaks>
  <extLst>
    <ext xmlns:x14="http://schemas.microsoft.com/office/spreadsheetml/2009/9/main" uri="{78C0D931-6437-407d-A8EE-F0AAD7539E65}">
      <x14:conditionalFormattings>
        <x14:conditionalFormatting xmlns:xm="http://schemas.microsoft.com/office/excel/2006/main">
          <x14:cfRule type="expression" priority="10" id="{A3D7083A-B59B-4ECE-9D93-2271AD6BEB38}">
            <xm:f>AND(Information!$C$8=FALSE,$D10&lt;&gt;"P C Sum",$D10&lt;&gt;"PC Sum",$D10&lt;&gt;"P Sum",$D10&lt;&gt;"Prov Sum")</xm:f>
            <x14:dxf>
              <font>
                <strike val="0"/>
                <color theme="0"/>
              </font>
              <numFmt numFmtId="4" formatCode="#,##0.00"/>
            </x14:dxf>
          </x14:cfRule>
          <xm:sqref>F92 F10:G65 G79:G92 F77:F89 F93:G119</xm:sqref>
        </x14:conditionalFormatting>
        <x14:conditionalFormatting xmlns:xm="http://schemas.microsoft.com/office/excel/2006/main">
          <x14:cfRule type="expression" priority="9" id="{CCE7FBE0-CEEB-4650-A2A9-7F4E2A8EEFC9}">
            <xm:f>AND(Information!$C$8=FALSE,$D66&lt;&gt;"P C Sum",$D66&lt;&gt;"PC Sum",$D66&lt;&gt;"P Sum",$D66&lt;&gt;"Prov Sum")</xm:f>
            <x14:dxf>
              <font>
                <strike val="0"/>
                <color theme="0"/>
              </font>
              <numFmt numFmtId="4" formatCode="#,##0.00"/>
            </x14:dxf>
          </x14:cfRule>
          <xm:sqref>G66</xm:sqref>
        </x14:conditionalFormatting>
        <x14:conditionalFormatting xmlns:xm="http://schemas.microsoft.com/office/excel/2006/main">
          <x14:cfRule type="expression" priority="6" id="{C09B89FE-3CC8-43AC-9221-C98F5356D34E}">
            <xm:f>AND(Information!$C$8=FALSE,$D120&lt;&gt;"P C Sum",$D120&lt;&gt;"PC Sum",$D120&lt;&gt;"P Sum",$D120&lt;&gt;"Prov Sum")</xm:f>
            <x14:dxf>
              <font>
                <strike val="0"/>
                <color theme="0"/>
              </font>
              <numFmt numFmtId="4" formatCode="#,##0.00"/>
            </x14:dxf>
          </x14:cfRule>
          <xm:sqref>G120</xm:sqref>
        </x14:conditionalFormatting>
        <x14:conditionalFormatting xmlns:xm="http://schemas.microsoft.com/office/excel/2006/main">
          <x14:cfRule type="expression" priority="5" id="{0E0B8725-2597-43BB-8719-7B84FE7B0B81}">
            <xm:f>AND(Information!$C$8=FALSE,$D75&lt;&gt;"P C Sum",$D75&lt;&gt;"PC Sum",$D75&lt;&gt;"P Sum",$D75&lt;&gt;"Prov Sum")</xm:f>
            <x14:dxf>
              <font>
                <strike val="0"/>
                <color theme="0"/>
              </font>
              <numFmt numFmtId="4" formatCode="#,##0.00"/>
            </x14:dxf>
          </x14:cfRule>
          <xm:sqref>G75:G78</xm:sqref>
        </x14:conditionalFormatting>
        <x14:conditionalFormatting xmlns:xm="http://schemas.microsoft.com/office/excel/2006/main">
          <x14:cfRule type="expression" priority="4" id="{1B7EFC5B-D5DE-4EAE-8784-B50888B44C40}">
            <xm:f>AND(Information!$C$8=FALSE,$D121&lt;&gt;"P C Sum",$D121&lt;&gt;"PC Sum",$D121&lt;&gt;"P Sum",$D121&lt;&gt;"Prov Sum")</xm:f>
            <x14:dxf>
              <font>
                <strike val="0"/>
                <color theme="0"/>
              </font>
              <numFmt numFmtId="4" formatCode="#,##0.00"/>
            </x14:dxf>
          </x14:cfRule>
          <xm:sqref>G121</xm:sqref>
        </x14:conditionalFormatting>
        <x14:conditionalFormatting xmlns:xm="http://schemas.microsoft.com/office/excel/2006/main">
          <x14:cfRule type="expression" priority="2" id="{FF10ACEA-6463-4061-A1AB-B8F186ECB30C}">
            <xm:f>AND(Information!$C$8=FALSE,$D91&lt;&gt;"P C Sum",$D91&lt;&gt;"PC Sum",$D91&lt;&gt;"P Sum",$D91&lt;&gt;"Prov Sum")</xm:f>
            <x14:dxf>
              <font>
                <strike val="0"/>
                <color theme="0"/>
              </font>
              <numFmt numFmtId="4" formatCode="#,##0.00"/>
            </x14:dxf>
          </x14:cfRule>
          <xm:sqref>F91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9649-D269-4FDF-A83A-773BD2CFC521}">
  <sheetPr codeName="Sheet86">
    <tabColor rgb="FF00B050"/>
  </sheetPr>
  <dimension ref="B1:M107"/>
  <sheetViews>
    <sheetView view="pageBreakPreview" zoomScaleNormal="125" zoomScaleSheetLayoutView="100" zoomScalePageLayoutView="125" workbookViewId="0">
      <pane xSplit="4" ySplit="2" topLeftCell="E3" activePane="bottomRight" state="frozen"/>
      <selection activeCell="G5" sqref="G5:G8"/>
      <selection pane="topRight" activeCell="G5" sqref="G5:G8"/>
      <selection pane="bottomLeft" activeCell="G5" sqref="G5:G8"/>
      <selection pane="bottomRight" activeCell="F95" sqref="F95"/>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10.7109375" style="1" bestFit="1" customWidth="1"/>
    <col min="12" max="16384" width="8.85546875" style="1"/>
  </cols>
  <sheetData>
    <row r="1" spans="2:13" x14ac:dyDescent="0.2">
      <c r="G1" s="166">
        <f>MAX(G9:G491)</f>
        <v>0</v>
      </c>
    </row>
    <row r="2" spans="2:13" x14ac:dyDescent="0.2">
      <c r="B2" s="2" t="str">
        <f>Client1</f>
        <v>Province of KwaZulu-Natal</v>
      </c>
      <c r="E2" s="703" t="str">
        <f>"Contract No. "&amp;ContractNo</f>
        <v>Contract No. ZNB02287/00000/00/MET/INF/24/T</v>
      </c>
      <c r="F2" s="703"/>
      <c r="G2" s="703"/>
      <c r="J2" s="293"/>
      <c r="K2" s="293" t="e">
        <f>MAX(K3:K236)</f>
        <v>#NAME?</v>
      </c>
      <c r="L2" s="293"/>
      <c r="M2" s="294"/>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8</v>
      </c>
      <c r="C5" s="699"/>
      <c r="D5" s="699"/>
      <c r="E5" s="699"/>
      <c r="F5" s="699"/>
      <c r="G5" s="695" t="str">
        <f>"CHAPTER "&amp;B11</f>
        <v>CHAPTER C11.6</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s="9" customFormat="1" ht="7.5" customHeight="1" x14ac:dyDescent="0.2">
      <c r="B8" s="693"/>
      <c r="C8" s="694"/>
      <c r="D8" s="694"/>
      <c r="E8" s="694"/>
      <c r="F8" s="694"/>
      <c r="G8" s="69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25" t="str">
        <f>IF(D10="","",E10*F10)</f>
        <v/>
      </c>
      <c r="H10" s="18"/>
      <c r="J10" s="16"/>
      <c r="K10" s="16"/>
      <c r="L10" s="16"/>
      <c r="M10" s="16"/>
    </row>
    <row r="11" spans="2:13" x14ac:dyDescent="0.2">
      <c r="B11" s="47" t="s">
        <v>273</v>
      </c>
      <c r="C11" s="20" t="s">
        <v>272</v>
      </c>
      <c r="D11" s="15"/>
      <c r="E11" s="15"/>
      <c r="F11" s="16"/>
      <c r="G11" s="25" t="str">
        <f>IF(D11="","",E11*F11)</f>
        <v/>
      </c>
      <c r="H11" s="18"/>
      <c r="J11" s="41"/>
      <c r="K11" s="41"/>
      <c r="L11" s="41"/>
      <c r="M11" s="41"/>
    </row>
    <row r="12" spans="2:13" x14ac:dyDescent="0.2">
      <c r="B12" s="51"/>
      <c r="C12" s="14"/>
      <c r="D12" s="15"/>
      <c r="E12" s="15"/>
      <c r="F12" s="16"/>
      <c r="G12" s="25" t="str">
        <f>IF(D12="","",E12*F12)</f>
        <v/>
      </c>
      <c r="H12" s="18"/>
      <c r="J12" s="41"/>
      <c r="K12" s="41"/>
      <c r="L12" s="41"/>
      <c r="M12" s="41"/>
    </row>
    <row r="13" spans="2:13" ht="51" x14ac:dyDescent="0.2">
      <c r="B13" s="59" t="s">
        <v>271</v>
      </c>
      <c r="C13" s="14" t="s">
        <v>270</v>
      </c>
      <c r="D13" s="15"/>
      <c r="E13" s="15"/>
      <c r="F13" s="16"/>
      <c r="G13" s="25" t="str">
        <f>IF(D13="","",E13*F13)</f>
        <v/>
      </c>
      <c r="H13" s="18"/>
      <c r="J13" s="24"/>
      <c r="K13" s="46" t="str">
        <f t="shared" ref="K13:K38" si="0">IF(J13="","",J13*E13)</f>
        <v/>
      </c>
      <c r="L13" s="24"/>
      <c r="M13" s="24"/>
    </row>
    <row r="14" spans="2:13" x14ac:dyDescent="0.2">
      <c r="B14" s="59"/>
      <c r="C14" s="14"/>
      <c r="D14" s="15"/>
      <c r="E14" s="15"/>
      <c r="F14" s="16"/>
      <c r="G14" s="25" t="str">
        <f>IF(D14="","",E14*F14)</f>
        <v/>
      </c>
      <c r="H14" s="18"/>
      <c r="J14" s="41"/>
      <c r="K14" s="46" t="str">
        <f t="shared" si="0"/>
        <v/>
      </c>
      <c r="L14" s="41"/>
      <c r="M14" s="41"/>
    </row>
    <row r="15" spans="2:13" ht="12" customHeight="1" x14ac:dyDescent="0.2">
      <c r="B15" s="51" t="s">
        <v>269</v>
      </c>
      <c r="C15" s="14" t="s">
        <v>268</v>
      </c>
      <c r="D15" s="22"/>
      <c r="E15" s="26"/>
      <c r="F15" s="16"/>
      <c r="G15" s="25" t="str">
        <f t="shared" ref="G15:G21" si="1">IF(D15="","",E15*F15)</f>
        <v/>
      </c>
      <c r="H15" s="18"/>
      <c r="J15" s="41"/>
      <c r="K15" s="46" t="str">
        <f t="shared" si="0"/>
        <v/>
      </c>
      <c r="L15" s="41"/>
      <c r="M15" s="41"/>
    </row>
    <row r="16" spans="2:13" x14ac:dyDescent="0.2">
      <c r="B16" s="59"/>
      <c r="C16" s="14"/>
      <c r="D16" s="15"/>
      <c r="E16" s="15"/>
      <c r="F16" s="16"/>
      <c r="G16" s="25" t="str">
        <f t="shared" si="1"/>
        <v/>
      </c>
      <c r="H16" s="18"/>
      <c r="J16" s="41"/>
      <c r="K16" s="46" t="str">
        <f t="shared" si="0"/>
        <v/>
      </c>
      <c r="L16" s="41"/>
      <c r="M16" s="41"/>
    </row>
    <row r="17" spans="2:13" x14ac:dyDescent="0.2">
      <c r="B17" s="51" t="s">
        <v>34</v>
      </c>
      <c r="C17" s="14" t="s">
        <v>320</v>
      </c>
      <c r="D17" s="22" t="s">
        <v>167</v>
      </c>
      <c r="E17" s="15">
        <v>120</v>
      </c>
      <c r="F17" s="16"/>
      <c r="G17" s="25">
        <f t="shared" si="1"/>
        <v>0</v>
      </c>
      <c r="H17" s="18"/>
      <c r="J17" s="338" t="e">
        <f>_Sign</f>
        <v>#NAME?</v>
      </c>
      <c r="K17" s="46" t="e">
        <f t="shared" si="0"/>
        <v>#NAME?</v>
      </c>
      <c r="L17" s="41"/>
      <c r="M17" s="41"/>
    </row>
    <row r="18" spans="2:13" x14ac:dyDescent="0.2">
      <c r="B18" s="59"/>
      <c r="C18" s="14"/>
      <c r="D18" s="15"/>
      <c r="E18" s="15"/>
      <c r="F18" s="16"/>
      <c r="G18" s="25" t="str">
        <f t="shared" si="1"/>
        <v/>
      </c>
      <c r="H18" s="18"/>
      <c r="J18" s="41"/>
      <c r="K18" s="46" t="str">
        <f t="shared" si="0"/>
        <v/>
      </c>
      <c r="L18" s="41"/>
      <c r="M18" s="41"/>
    </row>
    <row r="19" spans="2:13" x14ac:dyDescent="0.2">
      <c r="B19" s="51" t="s">
        <v>35</v>
      </c>
      <c r="C19" s="28" t="s">
        <v>321</v>
      </c>
      <c r="D19" s="22" t="s">
        <v>167</v>
      </c>
      <c r="E19" s="15">
        <v>120</v>
      </c>
      <c r="F19" s="16"/>
      <c r="G19" s="25">
        <f t="shared" si="1"/>
        <v>0</v>
      </c>
      <c r="H19" s="18"/>
      <c r="J19" s="338" t="e">
        <f>_Sign*1.5</f>
        <v>#NAME?</v>
      </c>
      <c r="K19" s="46" t="e">
        <f t="shared" si="0"/>
        <v>#NAME?</v>
      </c>
      <c r="L19" s="41"/>
      <c r="M19" s="41"/>
    </row>
    <row r="20" spans="2:13" x14ac:dyDescent="0.2">
      <c r="B20" s="59"/>
      <c r="C20" s="14"/>
      <c r="D20" s="61"/>
      <c r="E20" s="15"/>
      <c r="F20" s="16"/>
      <c r="G20" s="25" t="str">
        <f t="shared" si="1"/>
        <v/>
      </c>
      <c r="H20" s="18"/>
      <c r="J20" s="41"/>
      <c r="K20" s="46" t="str">
        <f t="shared" si="0"/>
        <v/>
      </c>
      <c r="L20" s="41"/>
      <c r="M20" s="41"/>
    </row>
    <row r="21" spans="2:13" x14ac:dyDescent="0.2">
      <c r="B21" s="51" t="s">
        <v>40</v>
      </c>
      <c r="C21" s="28" t="s">
        <v>322</v>
      </c>
      <c r="D21" s="22" t="s">
        <v>167</v>
      </c>
      <c r="E21" s="15">
        <v>50</v>
      </c>
      <c r="F21" s="16"/>
      <c r="G21" s="25">
        <f t="shared" si="1"/>
        <v>0</v>
      </c>
      <c r="H21" s="18"/>
      <c r="J21" s="338" t="e">
        <f>_Sign*2</f>
        <v>#NAME?</v>
      </c>
      <c r="K21" s="46" t="e">
        <f t="shared" si="0"/>
        <v>#NAME?</v>
      </c>
      <c r="L21" s="41"/>
      <c r="M21" s="41"/>
    </row>
    <row r="22" spans="2:13" x14ac:dyDescent="0.2">
      <c r="B22" s="59"/>
      <c r="C22" s="14"/>
      <c r="D22" s="15"/>
      <c r="E22" s="15"/>
      <c r="F22" s="16"/>
      <c r="G22" s="25"/>
      <c r="H22" s="18"/>
      <c r="J22" s="41"/>
      <c r="K22" s="46" t="str">
        <f t="shared" si="0"/>
        <v/>
      </c>
      <c r="L22" s="41"/>
      <c r="M22" s="41"/>
    </row>
    <row r="23" spans="2:13" x14ac:dyDescent="0.2">
      <c r="B23" s="51" t="s">
        <v>267</v>
      </c>
      <c r="C23" s="14" t="s">
        <v>266</v>
      </c>
      <c r="D23" s="22"/>
      <c r="E23" s="26"/>
      <c r="F23" s="16"/>
      <c r="G23" s="25" t="str">
        <f t="shared" ref="G23:G42" si="2">IF(D23="","",E23*F23)</f>
        <v/>
      </c>
      <c r="H23" s="63"/>
      <c r="J23" s="41"/>
      <c r="K23" s="46" t="str">
        <f t="shared" si="0"/>
        <v/>
      </c>
      <c r="L23" s="41"/>
      <c r="M23" s="41"/>
    </row>
    <row r="24" spans="2:13" x14ac:dyDescent="0.2">
      <c r="B24" s="59"/>
      <c r="C24" s="14"/>
      <c r="D24" s="15"/>
      <c r="E24" s="26"/>
      <c r="F24" s="16"/>
      <c r="G24" s="25" t="str">
        <f t="shared" si="2"/>
        <v/>
      </c>
      <c r="H24" s="18"/>
      <c r="J24" s="41"/>
      <c r="K24" s="46" t="str">
        <f t="shared" si="0"/>
        <v/>
      </c>
      <c r="L24" s="41"/>
      <c r="M24" s="41"/>
    </row>
    <row r="25" spans="2:13" ht="25.5" x14ac:dyDescent="0.2">
      <c r="B25" s="51" t="s">
        <v>35</v>
      </c>
      <c r="C25" s="14" t="s">
        <v>1022</v>
      </c>
      <c r="D25" s="22" t="s">
        <v>33</v>
      </c>
      <c r="E25" s="26">
        <v>110</v>
      </c>
      <c r="F25" s="16"/>
      <c r="G25" s="25">
        <f t="shared" si="2"/>
        <v>0</v>
      </c>
      <c r="H25" s="66"/>
      <c r="J25" s="338" t="e">
        <f>_Sign</f>
        <v>#NAME?</v>
      </c>
      <c r="K25" s="46" t="e">
        <f t="shared" si="0"/>
        <v>#NAME?</v>
      </c>
      <c r="L25" s="41"/>
      <c r="M25" s="41"/>
    </row>
    <row r="26" spans="2:13" x14ac:dyDescent="0.2">
      <c r="B26" s="59"/>
      <c r="C26" s="14"/>
      <c r="D26" s="15"/>
      <c r="E26" s="26"/>
      <c r="F26" s="16"/>
      <c r="G26" s="25" t="str">
        <f t="shared" si="2"/>
        <v/>
      </c>
      <c r="H26" s="63"/>
      <c r="J26" s="41"/>
      <c r="K26" s="46" t="str">
        <f t="shared" si="0"/>
        <v/>
      </c>
      <c r="L26" s="41"/>
      <c r="M26" s="41"/>
    </row>
    <row r="27" spans="2:13" x14ac:dyDescent="0.2">
      <c r="B27" s="51" t="s">
        <v>265</v>
      </c>
      <c r="C27" s="14" t="s">
        <v>264</v>
      </c>
      <c r="D27" s="22"/>
      <c r="E27" s="26"/>
      <c r="F27" s="16"/>
      <c r="G27" s="25" t="str">
        <f t="shared" si="2"/>
        <v/>
      </c>
      <c r="H27" s="18"/>
      <c r="J27" s="41"/>
      <c r="K27" s="46" t="str">
        <f t="shared" si="0"/>
        <v/>
      </c>
      <c r="L27" s="41"/>
      <c r="M27" s="41"/>
    </row>
    <row r="28" spans="2:13" x14ac:dyDescent="0.2">
      <c r="B28" s="59"/>
      <c r="C28" s="14"/>
      <c r="D28" s="15"/>
      <c r="E28" s="15"/>
      <c r="F28" s="16"/>
      <c r="G28" s="25" t="str">
        <f t="shared" si="2"/>
        <v/>
      </c>
      <c r="H28" s="18"/>
      <c r="J28" s="41"/>
      <c r="K28" s="46" t="str">
        <f t="shared" si="0"/>
        <v/>
      </c>
      <c r="L28" s="41"/>
      <c r="M28" s="41"/>
    </row>
    <row r="29" spans="2:13" ht="25.5" x14ac:dyDescent="0.2">
      <c r="B29" s="51" t="s">
        <v>35</v>
      </c>
      <c r="C29" s="14" t="s">
        <v>1022</v>
      </c>
      <c r="D29" s="22" t="s">
        <v>33</v>
      </c>
      <c r="E29" s="15">
        <v>30</v>
      </c>
      <c r="F29" s="16"/>
      <c r="G29" s="25">
        <f t="shared" si="2"/>
        <v>0</v>
      </c>
      <c r="H29" s="18"/>
      <c r="J29" s="338" t="e">
        <f>_Sign</f>
        <v>#NAME?</v>
      </c>
      <c r="K29" s="46" t="e">
        <f t="shared" si="0"/>
        <v>#NAME?</v>
      </c>
      <c r="L29" s="41"/>
      <c r="M29" s="41"/>
    </row>
    <row r="30" spans="2:13" x14ac:dyDescent="0.2">
      <c r="B30" s="59"/>
      <c r="C30" s="14"/>
      <c r="D30" s="15"/>
      <c r="E30" s="15"/>
      <c r="F30" s="16"/>
      <c r="G30" s="25" t="str">
        <f t="shared" si="2"/>
        <v/>
      </c>
      <c r="H30" s="18"/>
      <c r="J30" s="41"/>
      <c r="K30" s="46" t="str">
        <f t="shared" si="0"/>
        <v/>
      </c>
      <c r="L30" s="41"/>
      <c r="M30" s="41"/>
    </row>
    <row r="31" spans="2:13" x14ac:dyDescent="0.2">
      <c r="B31" s="51" t="s">
        <v>263</v>
      </c>
      <c r="C31" s="28" t="s">
        <v>262</v>
      </c>
      <c r="D31" s="61"/>
      <c r="E31" s="15"/>
      <c r="F31" s="16"/>
      <c r="G31" s="25" t="str">
        <f t="shared" si="2"/>
        <v/>
      </c>
      <c r="H31" s="18"/>
      <c r="J31" s="41"/>
      <c r="K31" s="46" t="str">
        <f t="shared" si="0"/>
        <v/>
      </c>
      <c r="L31" s="41"/>
      <c r="M31" s="41"/>
    </row>
    <row r="32" spans="2:13" x14ac:dyDescent="0.2">
      <c r="B32" s="59"/>
      <c r="C32" s="27"/>
      <c r="D32" s="61"/>
      <c r="E32" s="15"/>
      <c r="F32" s="16"/>
      <c r="G32" s="25" t="str">
        <f t="shared" si="2"/>
        <v/>
      </c>
      <c r="J32" s="41"/>
      <c r="K32" s="46" t="str">
        <f t="shared" si="0"/>
        <v/>
      </c>
      <c r="L32" s="41"/>
      <c r="M32" s="41"/>
    </row>
    <row r="33" spans="2:13" ht="12" customHeight="1" x14ac:dyDescent="0.2">
      <c r="B33" s="59" t="s">
        <v>35</v>
      </c>
      <c r="C33" s="14" t="s">
        <v>1022</v>
      </c>
      <c r="D33" s="22" t="s">
        <v>33</v>
      </c>
      <c r="E33" s="61">
        <v>100</v>
      </c>
      <c r="F33" s="16"/>
      <c r="G33" s="25">
        <f t="shared" si="2"/>
        <v>0</v>
      </c>
      <c r="J33" s="338" t="e">
        <f>_Sign</f>
        <v>#NAME?</v>
      </c>
      <c r="K33" s="46" t="e">
        <f t="shared" si="0"/>
        <v>#NAME?</v>
      </c>
      <c r="L33" s="41"/>
      <c r="M33" s="41"/>
    </row>
    <row r="34" spans="2:13" x14ac:dyDescent="0.2">
      <c r="B34" s="51"/>
      <c r="C34" s="14"/>
      <c r="D34" s="15"/>
      <c r="E34" s="15"/>
      <c r="F34" s="16"/>
      <c r="G34" s="25" t="str">
        <f t="shared" si="2"/>
        <v/>
      </c>
      <c r="J34" s="41"/>
      <c r="K34" s="46" t="str">
        <f t="shared" si="0"/>
        <v/>
      </c>
      <c r="L34" s="41"/>
      <c r="M34" s="41"/>
    </row>
    <row r="35" spans="2:13" x14ac:dyDescent="0.2">
      <c r="B35" s="51" t="s">
        <v>261</v>
      </c>
      <c r="C35" s="28" t="s">
        <v>260</v>
      </c>
      <c r="D35" s="15"/>
      <c r="E35" s="15"/>
      <c r="F35" s="16"/>
      <c r="G35" s="25" t="str">
        <f t="shared" si="2"/>
        <v/>
      </c>
      <c r="J35" s="41"/>
      <c r="K35" s="46" t="str">
        <f t="shared" si="0"/>
        <v/>
      </c>
      <c r="L35" s="41"/>
      <c r="M35" s="41"/>
    </row>
    <row r="36" spans="2:13" x14ac:dyDescent="0.2">
      <c r="B36" s="51"/>
      <c r="C36" s="14"/>
      <c r="D36" s="15"/>
      <c r="E36" s="15"/>
      <c r="F36" s="16"/>
      <c r="G36" s="25" t="str">
        <f t="shared" si="2"/>
        <v/>
      </c>
      <c r="J36" s="41"/>
      <c r="K36" s="46" t="str">
        <f t="shared" si="0"/>
        <v/>
      </c>
      <c r="L36" s="41"/>
      <c r="M36" s="41"/>
    </row>
    <row r="37" spans="2:13" ht="25.5" x14ac:dyDescent="0.2">
      <c r="B37" s="59" t="s">
        <v>35</v>
      </c>
      <c r="C37" s="14" t="s">
        <v>1022</v>
      </c>
      <c r="D37" s="22" t="s">
        <v>33</v>
      </c>
      <c r="E37" s="15">
        <v>30</v>
      </c>
      <c r="F37" s="16"/>
      <c r="G37" s="25">
        <f t="shared" si="2"/>
        <v>0</v>
      </c>
      <c r="J37" s="338" t="e">
        <f>_Sign</f>
        <v>#NAME?</v>
      </c>
      <c r="K37" s="46" t="e">
        <f t="shared" si="0"/>
        <v>#NAME?</v>
      </c>
      <c r="L37" s="41"/>
      <c r="M37" s="41"/>
    </row>
    <row r="38" spans="2:13" x14ac:dyDescent="0.2">
      <c r="B38" s="59"/>
      <c r="C38" s="14"/>
      <c r="D38" s="15"/>
      <c r="E38" s="26"/>
      <c r="F38" s="16"/>
      <c r="G38" s="25" t="str">
        <f t="shared" si="2"/>
        <v/>
      </c>
      <c r="J38" s="41"/>
      <c r="K38" s="46" t="str">
        <f t="shared" si="0"/>
        <v/>
      </c>
      <c r="L38" s="41"/>
      <c r="M38" s="41"/>
    </row>
    <row r="39" spans="2:13" ht="38.25" x14ac:dyDescent="0.2">
      <c r="B39" s="59" t="s">
        <v>1023</v>
      </c>
      <c r="C39" s="14" t="s">
        <v>1024</v>
      </c>
      <c r="D39" s="15" t="s">
        <v>167</v>
      </c>
      <c r="E39" s="26">
        <v>15</v>
      </c>
      <c r="F39" s="16"/>
      <c r="G39" s="25">
        <f t="shared" si="2"/>
        <v>0</v>
      </c>
      <c r="J39" s="41"/>
      <c r="K39" s="46"/>
      <c r="L39" s="41"/>
      <c r="M39" s="41"/>
    </row>
    <row r="40" spans="2:13" x14ac:dyDescent="0.2">
      <c r="B40" s="59"/>
      <c r="C40" s="14"/>
      <c r="D40" s="15"/>
      <c r="E40" s="26"/>
      <c r="F40" s="16"/>
      <c r="G40" s="25" t="str">
        <f t="shared" si="2"/>
        <v/>
      </c>
      <c r="J40" s="41"/>
      <c r="K40" s="46"/>
      <c r="L40" s="41"/>
      <c r="M40" s="41"/>
    </row>
    <row r="41" spans="2:13" ht="38.25" x14ac:dyDescent="0.2">
      <c r="B41" s="59" t="s">
        <v>1025</v>
      </c>
      <c r="C41" s="14" t="s">
        <v>1026</v>
      </c>
      <c r="D41" s="15" t="s">
        <v>256</v>
      </c>
      <c r="E41" s="26">
        <v>15</v>
      </c>
      <c r="F41" s="16"/>
      <c r="G41" s="25">
        <f t="shared" si="2"/>
        <v>0</v>
      </c>
      <c r="J41" s="41"/>
      <c r="K41" s="46"/>
      <c r="L41" s="41"/>
      <c r="M41" s="41"/>
    </row>
    <row r="42" spans="2:13" x14ac:dyDescent="0.2">
      <c r="B42" s="59"/>
      <c r="C42" s="14"/>
      <c r="D42" s="15"/>
      <c r="E42" s="26"/>
      <c r="F42" s="16"/>
      <c r="G42" s="25" t="str">
        <f t="shared" si="2"/>
        <v/>
      </c>
      <c r="J42" s="41"/>
      <c r="K42" s="46"/>
      <c r="L42" s="41"/>
      <c r="M42" s="41"/>
    </row>
    <row r="43" spans="2:13" x14ac:dyDescent="0.2">
      <c r="B43" s="59"/>
      <c r="C43" s="14"/>
      <c r="D43" s="15"/>
      <c r="E43" s="26"/>
      <c r="F43" s="16"/>
      <c r="G43" s="25"/>
      <c r="J43" s="41"/>
      <c r="K43" s="46"/>
      <c r="L43" s="41"/>
      <c r="M43" s="41"/>
    </row>
    <row r="44" spans="2:13" s="5" customFormat="1" ht="37.5" customHeight="1" x14ac:dyDescent="0.2">
      <c r="B44" s="51" t="s">
        <v>259</v>
      </c>
      <c r="C44" s="14" t="s">
        <v>258</v>
      </c>
      <c r="D44" s="22"/>
      <c r="E44" s="15"/>
      <c r="F44" s="16"/>
      <c r="G44" s="25" t="str">
        <f t="shared" ref="G44:G50" si="3">IF(D44="","",E44*F44)</f>
        <v/>
      </c>
      <c r="J44" s="41"/>
      <c r="K44" s="46" t="str">
        <f t="shared" ref="K44:K101" si="4">IF(J44="","",J44*E44)</f>
        <v/>
      </c>
      <c r="L44" s="41"/>
      <c r="M44" s="41"/>
    </row>
    <row r="45" spans="2:13" s="5" customFormat="1" x14ac:dyDescent="0.2">
      <c r="B45" s="59"/>
      <c r="C45" s="14"/>
      <c r="D45" s="15"/>
      <c r="E45" s="15"/>
      <c r="F45" s="16"/>
      <c r="G45" s="25" t="str">
        <f t="shared" si="3"/>
        <v/>
      </c>
      <c r="J45" s="41"/>
      <c r="K45" s="46" t="str">
        <f t="shared" si="4"/>
        <v/>
      </c>
      <c r="L45" s="41"/>
      <c r="M45" s="41"/>
    </row>
    <row r="46" spans="2:13" s="5" customFormat="1" x14ac:dyDescent="0.2">
      <c r="B46" s="51" t="s">
        <v>257</v>
      </c>
      <c r="C46" s="14" t="s">
        <v>409</v>
      </c>
      <c r="D46" s="22"/>
      <c r="E46" s="15"/>
      <c r="F46" s="16"/>
      <c r="G46" s="25" t="str">
        <f t="shared" si="3"/>
        <v/>
      </c>
      <c r="J46" s="41"/>
      <c r="K46" s="46" t="str">
        <f t="shared" si="4"/>
        <v/>
      </c>
      <c r="L46" s="41"/>
      <c r="M46" s="41"/>
    </row>
    <row r="47" spans="2:13" s="5" customFormat="1" x14ac:dyDescent="0.2">
      <c r="B47" s="51"/>
      <c r="C47" s="158"/>
      <c r="D47" s="157"/>
      <c r="E47" s="15"/>
      <c r="F47" s="16"/>
      <c r="G47" s="25" t="str">
        <f t="shared" si="3"/>
        <v/>
      </c>
      <c r="J47" s="41"/>
      <c r="K47" s="46" t="str">
        <f t="shared" si="4"/>
        <v/>
      </c>
      <c r="L47" s="41"/>
      <c r="M47" s="41"/>
    </row>
    <row r="48" spans="2:13" s="5" customFormat="1" x14ac:dyDescent="0.2">
      <c r="B48" s="51"/>
      <c r="C48" s="156" t="s">
        <v>410</v>
      </c>
      <c r="D48" s="157" t="s">
        <v>6</v>
      </c>
      <c r="E48" s="15">
        <v>1400</v>
      </c>
      <c r="F48" s="16"/>
      <c r="G48" s="25">
        <f t="shared" si="3"/>
        <v>0</v>
      </c>
      <c r="J48" s="338" t="e">
        <f>_Sign*0.2</f>
        <v>#NAME?</v>
      </c>
      <c r="K48" s="46" t="e">
        <f t="shared" si="4"/>
        <v>#NAME?</v>
      </c>
      <c r="L48" s="41"/>
      <c r="M48" s="41"/>
    </row>
    <row r="49" spans="2:13" s="5" customFormat="1" x14ac:dyDescent="0.2">
      <c r="B49" s="51"/>
      <c r="C49" s="156"/>
      <c r="D49" s="157"/>
      <c r="E49" s="15"/>
      <c r="F49" s="16"/>
      <c r="G49" s="25" t="str">
        <f t="shared" si="3"/>
        <v/>
      </c>
      <c r="J49" s="41"/>
      <c r="K49" s="46" t="str">
        <f t="shared" si="4"/>
        <v/>
      </c>
      <c r="L49" s="41"/>
      <c r="M49" s="41"/>
    </row>
    <row r="50" spans="2:13" s="5" customFormat="1" x14ac:dyDescent="0.2">
      <c r="B50" s="51"/>
      <c r="C50" s="156" t="s">
        <v>411</v>
      </c>
      <c r="D50" s="157" t="s">
        <v>6</v>
      </c>
      <c r="E50" s="15">
        <v>600</v>
      </c>
      <c r="F50" s="16"/>
      <c r="G50" s="25">
        <f t="shared" si="3"/>
        <v>0</v>
      </c>
      <c r="J50" s="338" t="e">
        <f>_Sign*0.2</f>
        <v>#NAME?</v>
      </c>
      <c r="K50" s="46" t="e">
        <f t="shared" si="4"/>
        <v>#NAME?</v>
      </c>
      <c r="L50" s="41"/>
      <c r="M50" s="41"/>
    </row>
    <row r="51" spans="2:13" s="5" customFormat="1" x14ac:dyDescent="0.2">
      <c r="B51" s="51"/>
      <c r="C51" s="14"/>
      <c r="D51" s="22"/>
      <c r="E51" s="61"/>
      <c r="F51" s="16"/>
      <c r="G51" s="25"/>
      <c r="J51" s="346"/>
      <c r="K51" s="46"/>
      <c r="L51" s="41"/>
      <c r="M51" s="41"/>
    </row>
    <row r="52" spans="2:13" s="30" customFormat="1" ht="19.5" customHeight="1" x14ac:dyDescent="0.2">
      <c r="B52" s="121" t="str">
        <f>$B$11</f>
        <v>C11.6</v>
      </c>
      <c r="C52" s="32" t="s">
        <v>12</v>
      </c>
      <c r="D52" s="33"/>
      <c r="E52" s="34"/>
      <c r="F52" s="33"/>
      <c r="G52" s="352">
        <f>SUM(G10:G50)</f>
        <v>0</v>
      </c>
      <c r="H52" s="36"/>
      <c r="I52" s="5"/>
      <c r="J52" s="41"/>
      <c r="K52" s="46" t="str">
        <f t="shared" si="4"/>
        <v/>
      </c>
      <c r="L52" s="41"/>
      <c r="M52" s="41"/>
    </row>
    <row r="53" spans="2:13" x14ac:dyDescent="0.2">
      <c r="B53" s="689" t="str">
        <f>Client1</f>
        <v>Province of KwaZulu-Natal</v>
      </c>
      <c r="C53" s="689"/>
      <c r="D53" s="689"/>
      <c r="E53" s="687" t="str">
        <f>"Contract No. "&amp;ContractNo</f>
        <v>Contract No. ZNB02287/00000/00/MET/INF/24/T</v>
      </c>
      <c r="F53" s="687"/>
      <c r="G53" s="687"/>
      <c r="I53" s="5"/>
      <c r="J53" s="41"/>
      <c r="K53" s="46" t="str">
        <f t="shared" si="4"/>
        <v/>
      </c>
      <c r="L53" s="41"/>
      <c r="M53" s="41"/>
    </row>
    <row r="54" spans="2:13" x14ac:dyDescent="0.2">
      <c r="B54" s="689" t="str">
        <f>Client2</f>
        <v>Department of Transport</v>
      </c>
      <c r="C54" s="689"/>
      <c r="D54" s="689"/>
      <c r="E54" s="687"/>
      <c r="F54" s="687"/>
      <c r="G54" s="687"/>
      <c r="I54" s="5"/>
      <c r="J54" s="41"/>
      <c r="K54" s="46" t="str">
        <f t="shared" si="4"/>
        <v/>
      </c>
      <c r="L54" s="41"/>
      <c r="M54" s="41"/>
    </row>
    <row r="55" spans="2:13" x14ac:dyDescent="0.2">
      <c r="B55" s="690"/>
      <c r="C55" s="690"/>
      <c r="D55" s="690"/>
      <c r="E55" s="688"/>
      <c r="F55" s="688"/>
      <c r="G55" s="688"/>
      <c r="I55" s="5"/>
      <c r="J55" s="41"/>
      <c r="K55" s="46" t="str">
        <f t="shared" si="4"/>
        <v/>
      </c>
      <c r="L55" s="41"/>
      <c r="M55" s="41"/>
    </row>
    <row r="56" spans="2:13" x14ac:dyDescent="0.2">
      <c r="B56" s="698" t="s">
        <v>8</v>
      </c>
      <c r="C56" s="699"/>
      <c r="D56" s="699"/>
      <c r="E56" s="699"/>
      <c r="F56" s="699"/>
      <c r="G56" s="700" t="str">
        <f>$G$5</f>
        <v>CHAPTER C11.6</v>
      </c>
      <c r="H56" s="6"/>
      <c r="I56" s="5"/>
      <c r="J56" s="41"/>
      <c r="K56" s="46" t="str">
        <f t="shared" si="4"/>
        <v/>
      </c>
      <c r="L56" s="41"/>
      <c r="M56" s="41"/>
    </row>
    <row r="57" spans="2:13" x14ac:dyDescent="0.2">
      <c r="B57" s="691" t="str">
        <f>ContractDescription</f>
        <v>PROVISION OF ROUTINE AND SAFETY MAINTENANCE ON MIAN ROAD P3/1 (KM 69.00 TO KM 77.96), P3/2 (KM 0.00 TO KM 11.50), P21/2(KM 0.00 TO KM 29.83 IN THE ETHEKWINI METRO - DURBAN REGION</v>
      </c>
      <c r="C57" s="692"/>
      <c r="D57" s="692"/>
      <c r="E57" s="692"/>
      <c r="F57" s="692"/>
      <c r="G57" s="701"/>
      <c r="H57" s="8"/>
      <c r="I57" s="5"/>
      <c r="J57" s="41"/>
      <c r="K57" s="46" t="str">
        <f t="shared" si="4"/>
        <v/>
      </c>
      <c r="L57" s="41"/>
      <c r="M57" s="41"/>
    </row>
    <row r="58" spans="2:13" x14ac:dyDescent="0.2">
      <c r="B58" s="691"/>
      <c r="C58" s="692"/>
      <c r="D58" s="692"/>
      <c r="E58" s="692"/>
      <c r="F58" s="692"/>
      <c r="G58" s="701"/>
      <c r="H58" s="8"/>
      <c r="I58" s="5"/>
      <c r="J58" s="41"/>
      <c r="K58" s="46" t="str">
        <f t="shared" si="4"/>
        <v/>
      </c>
      <c r="L58" s="41"/>
      <c r="M58" s="41"/>
    </row>
    <row r="59" spans="2:13" x14ac:dyDescent="0.2">
      <c r="B59" s="693"/>
      <c r="C59" s="694"/>
      <c r="D59" s="694"/>
      <c r="E59" s="694"/>
      <c r="F59" s="694"/>
      <c r="G59" s="702"/>
      <c r="H59" s="8"/>
      <c r="I59" s="5"/>
      <c r="J59" s="41"/>
      <c r="K59" s="46" t="str">
        <f t="shared" si="4"/>
        <v/>
      </c>
      <c r="L59" s="41"/>
      <c r="M59" s="41"/>
    </row>
    <row r="60" spans="2:13" s="9" customFormat="1" ht="24.95" customHeight="1" x14ac:dyDescent="0.2">
      <c r="B60" s="68" t="s">
        <v>0</v>
      </c>
      <c r="C60" s="11" t="s">
        <v>1</v>
      </c>
      <c r="D60" s="11" t="s">
        <v>2</v>
      </c>
      <c r="E60" s="11" t="s">
        <v>3</v>
      </c>
      <c r="F60" s="11" t="s">
        <v>4</v>
      </c>
      <c r="G60" s="11" t="s">
        <v>5</v>
      </c>
      <c r="H60" s="12"/>
      <c r="I60" s="5"/>
      <c r="J60" s="41"/>
      <c r="K60" s="46" t="str">
        <f t="shared" si="4"/>
        <v/>
      </c>
      <c r="L60" s="41"/>
      <c r="M60" s="41"/>
    </row>
    <row r="61" spans="2:13" s="30" customFormat="1" ht="19.5" customHeight="1" x14ac:dyDescent="0.2">
      <c r="B61" s="74"/>
      <c r="C61" s="32" t="s">
        <v>26</v>
      </c>
      <c r="D61" s="33"/>
      <c r="E61" s="34"/>
      <c r="F61" s="33"/>
      <c r="G61" s="352">
        <f>G52</f>
        <v>0</v>
      </c>
      <c r="H61" s="36"/>
      <c r="I61" s="5"/>
      <c r="J61" s="41"/>
      <c r="K61" s="46" t="str">
        <f t="shared" si="4"/>
        <v/>
      </c>
      <c r="L61" s="41"/>
      <c r="M61" s="41"/>
    </row>
    <row r="62" spans="2:13" s="5" customFormat="1" x14ac:dyDescent="0.2">
      <c r="B62" s="59"/>
      <c r="C62" s="14"/>
      <c r="D62" s="15"/>
      <c r="E62" s="26"/>
      <c r="F62" s="16"/>
      <c r="G62" s="25"/>
      <c r="J62" s="41"/>
      <c r="K62" s="46" t="str">
        <f t="shared" si="4"/>
        <v/>
      </c>
      <c r="L62" s="41"/>
      <c r="M62" s="41"/>
    </row>
    <row r="63" spans="2:13" s="5" customFormat="1" ht="25.5" x14ac:dyDescent="0.2">
      <c r="B63" s="51" t="s">
        <v>255</v>
      </c>
      <c r="C63" s="28" t="s">
        <v>254</v>
      </c>
      <c r="D63" s="61"/>
      <c r="E63" s="15"/>
      <c r="F63" s="16"/>
      <c r="G63" s="25" t="str">
        <f t="shared" ref="G63:G81" si="5">IF(D63="","",E63*F63)</f>
        <v/>
      </c>
      <c r="J63" s="41"/>
      <c r="K63" s="46" t="str">
        <f t="shared" si="4"/>
        <v/>
      </c>
      <c r="L63" s="41"/>
      <c r="M63" s="41"/>
    </row>
    <row r="64" spans="2:13" s="5" customFormat="1" x14ac:dyDescent="0.2">
      <c r="B64" s="59"/>
      <c r="C64" s="27"/>
      <c r="D64" s="61"/>
      <c r="E64" s="15"/>
      <c r="F64" s="16"/>
      <c r="G64" s="25" t="str">
        <f t="shared" si="5"/>
        <v/>
      </c>
      <c r="J64" s="41"/>
      <c r="K64" s="46" t="str">
        <f t="shared" si="4"/>
        <v/>
      </c>
      <c r="L64" s="41"/>
      <c r="M64" s="41"/>
    </row>
    <row r="65" spans="2:13" s="5" customFormat="1" x14ac:dyDescent="0.2">
      <c r="B65" s="59" t="s">
        <v>253</v>
      </c>
      <c r="C65" s="14" t="s">
        <v>252</v>
      </c>
      <c r="D65" s="22" t="s">
        <v>168</v>
      </c>
      <c r="E65" s="15">
        <v>45</v>
      </c>
      <c r="F65" s="16"/>
      <c r="G65" s="25">
        <f t="shared" si="5"/>
        <v>0</v>
      </c>
      <c r="J65" s="41">
        <f>_Excavation</f>
        <v>0</v>
      </c>
      <c r="K65" s="46">
        <f t="shared" si="4"/>
        <v>0</v>
      </c>
      <c r="L65" s="41"/>
      <c r="M65" s="41"/>
    </row>
    <row r="66" spans="2:13" s="5" customFormat="1" x14ac:dyDescent="0.2">
      <c r="B66" s="59"/>
      <c r="C66" s="14"/>
      <c r="D66" s="15"/>
      <c r="E66" s="15"/>
      <c r="F66" s="16"/>
      <c r="G66" s="25" t="str">
        <f t="shared" si="5"/>
        <v/>
      </c>
      <c r="J66" s="41"/>
      <c r="K66" s="46" t="str">
        <f t="shared" si="4"/>
        <v/>
      </c>
      <c r="L66" s="41"/>
      <c r="M66" s="41"/>
    </row>
    <row r="67" spans="2:13" s="5" customFormat="1" ht="38.25" x14ac:dyDescent="0.2">
      <c r="B67" s="78" t="s">
        <v>251</v>
      </c>
      <c r="C67" s="14" t="s">
        <v>250</v>
      </c>
      <c r="D67" s="22" t="s">
        <v>168</v>
      </c>
      <c r="E67" s="15">
        <v>6</v>
      </c>
      <c r="F67" s="16"/>
      <c r="G67" s="25">
        <f>IF(D67="","",E67*F67)</f>
        <v>0</v>
      </c>
      <c r="J67" s="41">
        <f>_Backfill+_Excavation</f>
        <v>0</v>
      </c>
      <c r="K67" s="46">
        <f>IF(J67="","",J67*E67)</f>
        <v>0</v>
      </c>
      <c r="L67" s="41"/>
      <c r="M67" s="41"/>
    </row>
    <row r="68" spans="2:13" s="5" customFormat="1" x14ac:dyDescent="0.2">
      <c r="B68" s="51"/>
      <c r="C68" s="14"/>
      <c r="D68" s="15"/>
      <c r="E68" s="15"/>
      <c r="F68" s="16"/>
      <c r="G68" s="25" t="str">
        <f>IF(D68="","",E68*F68)</f>
        <v/>
      </c>
      <c r="J68" s="41"/>
      <c r="K68" s="46" t="str">
        <f>IF(J68="","",J68*E68)</f>
        <v/>
      </c>
      <c r="L68" s="41"/>
      <c r="M68" s="41"/>
    </row>
    <row r="69" spans="2:13" s="5" customFormat="1" ht="25.5" x14ac:dyDescent="0.2">
      <c r="B69" s="78" t="s">
        <v>249</v>
      </c>
      <c r="C69" s="14" t="s">
        <v>248</v>
      </c>
      <c r="D69" s="22" t="s">
        <v>168</v>
      </c>
      <c r="E69" s="15">
        <v>9</v>
      </c>
      <c r="F69" s="16"/>
      <c r="G69" s="25">
        <f t="shared" si="5"/>
        <v>0</v>
      </c>
      <c r="J69" s="41">
        <f>_Mix</f>
        <v>0</v>
      </c>
      <c r="K69" s="46">
        <f t="shared" si="4"/>
        <v>0</v>
      </c>
      <c r="L69" s="41"/>
      <c r="M69" s="41"/>
    </row>
    <row r="70" spans="2:13" s="5" customFormat="1" x14ac:dyDescent="0.2">
      <c r="B70" s="51"/>
      <c r="C70" s="14"/>
      <c r="D70" s="15"/>
      <c r="E70" s="15"/>
      <c r="F70" s="16"/>
      <c r="G70" s="25" t="str">
        <f t="shared" si="5"/>
        <v/>
      </c>
      <c r="J70" s="41"/>
      <c r="K70" s="46" t="str">
        <f t="shared" si="4"/>
        <v/>
      </c>
      <c r="L70" s="41"/>
      <c r="M70" s="41"/>
    </row>
    <row r="71" spans="2:13" s="5" customFormat="1" ht="25.5" x14ac:dyDescent="0.2">
      <c r="B71" s="51" t="s">
        <v>247</v>
      </c>
      <c r="C71" s="14" t="s">
        <v>246</v>
      </c>
      <c r="D71" s="22" t="s">
        <v>168</v>
      </c>
      <c r="E71" s="15">
        <v>3</v>
      </c>
      <c r="F71" s="16"/>
      <c r="G71" s="25">
        <f t="shared" si="5"/>
        <v>0</v>
      </c>
      <c r="J71" s="41"/>
      <c r="K71" s="46" t="str">
        <f t="shared" si="4"/>
        <v/>
      </c>
      <c r="L71" s="41"/>
      <c r="M71" s="41"/>
    </row>
    <row r="72" spans="2:13" s="5" customFormat="1" x14ac:dyDescent="0.2">
      <c r="B72" s="59"/>
      <c r="C72" s="14"/>
      <c r="D72" s="15"/>
      <c r="E72" s="15"/>
      <c r="F72" s="16"/>
      <c r="G72" s="25" t="str">
        <f t="shared" si="5"/>
        <v/>
      </c>
      <c r="J72" s="41"/>
      <c r="K72" s="46" t="str">
        <f t="shared" si="4"/>
        <v/>
      </c>
      <c r="L72" s="41"/>
      <c r="M72" s="41"/>
    </row>
    <row r="73" spans="2:13" s="5" customFormat="1" x14ac:dyDescent="0.2">
      <c r="B73" s="59" t="s">
        <v>1027</v>
      </c>
      <c r="C73" s="14" t="s">
        <v>1028</v>
      </c>
      <c r="D73" s="15" t="s">
        <v>181</v>
      </c>
      <c r="E73" s="15">
        <v>2</v>
      </c>
      <c r="F73" s="16"/>
      <c r="G73" s="25">
        <f t="shared" si="5"/>
        <v>0</v>
      </c>
      <c r="J73" s="41"/>
      <c r="K73" s="46"/>
      <c r="L73" s="41"/>
      <c r="M73" s="41"/>
    </row>
    <row r="74" spans="2:13" s="5" customFormat="1" x14ac:dyDescent="0.2">
      <c r="B74" s="59"/>
      <c r="C74" s="14"/>
      <c r="D74" s="15"/>
      <c r="E74" s="15"/>
      <c r="F74" s="16"/>
      <c r="G74" s="25" t="str">
        <f t="shared" si="5"/>
        <v/>
      </c>
      <c r="J74" s="41"/>
      <c r="K74" s="46"/>
      <c r="L74" s="41"/>
      <c r="M74" s="41"/>
    </row>
    <row r="75" spans="2:13" s="5" customFormat="1" ht="25.5" x14ac:dyDescent="0.2">
      <c r="B75" s="449" t="s">
        <v>1029</v>
      </c>
      <c r="C75" s="20" t="s">
        <v>1030</v>
      </c>
      <c r="D75" s="15"/>
      <c r="E75" s="15"/>
      <c r="F75" s="16"/>
      <c r="G75" s="25" t="str">
        <f t="shared" si="5"/>
        <v/>
      </c>
      <c r="J75" s="41"/>
      <c r="K75" s="46"/>
      <c r="L75" s="41"/>
      <c r="M75" s="41"/>
    </row>
    <row r="76" spans="2:13" s="5" customFormat="1" x14ac:dyDescent="0.2">
      <c r="B76" s="59"/>
      <c r="C76" s="14"/>
      <c r="D76" s="15"/>
      <c r="E76" s="15"/>
      <c r="F76" s="16"/>
      <c r="G76" s="25" t="str">
        <f t="shared" si="5"/>
        <v/>
      </c>
      <c r="J76" s="41"/>
      <c r="K76" s="46"/>
      <c r="L76" s="41"/>
      <c r="M76" s="41"/>
    </row>
    <row r="77" spans="2:13" s="5" customFormat="1" x14ac:dyDescent="0.2">
      <c r="B77" s="59" t="s">
        <v>1031</v>
      </c>
      <c r="C77" s="14" t="s">
        <v>1032</v>
      </c>
      <c r="D77" s="15" t="s">
        <v>823</v>
      </c>
      <c r="E77" s="15">
        <v>3</v>
      </c>
      <c r="F77" s="16"/>
      <c r="G77" s="25">
        <f t="shared" si="5"/>
        <v>0</v>
      </c>
      <c r="J77" s="41"/>
      <c r="K77" s="46"/>
      <c r="L77" s="41"/>
      <c r="M77" s="41"/>
    </row>
    <row r="78" spans="2:13" s="5" customFormat="1" x14ac:dyDescent="0.2">
      <c r="B78" s="59"/>
      <c r="C78" s="14"/>
      <c r="D78" s="15"/>
      <c r="E78" s="15"/>
      <c r="F78" s="16"/>
      <c r="G78" s="25" t="str">
        <f t="shared" si="5"/>
        <v/>
      </c>
      <c r="J78" s="41"/>
      <c r="K78" s="46"/>
      <c r="L78" s="41"/>
      <c r="M78" s="41"/>
    </row>
    <row r="79" spans="2:13" s="5" customFormat="1" x14ac:dyDescent="0.2">
      <c r="B79" s="59" t="s">
        <v>1033</v>
      </c>
      <c r="C79" s="14" t="s">
        <v>1034</v>
      </c>
      <c r="D79" s="15" t="s">
        <v>823</v>
      </c>
      <c r="E79" s="15">
        <v>6</v>
      </c>
      <c r="F79" s="16"/>
      <c r="G79" s="25">
        <f t="shared" si="5"/>
        <v>0</v>
      </c>
      <c r="J79" s="41"/>
      <c r="K79" s="46"/>
      <c r="L79" s="41"/>
      <c r="M79" s="41"/>
    </row>
    <row r="80" spans="2:13" s="5" customFormat="1" x14ac:dyDescent="0.2">
      <c r="B80" s="59"/>
      <c r="C80" s="14"/>
      <c r="D80" s="15"/>
      <c r="E80" s="15"/>
      <c r="F80" s="16"/>
      <c r="G80" s="25" t="str">
        <f t="shared" si="5"/>
        <v/>
      </c>
      <c r="J80" s="41"/>
      <c r="K80" s="46"/>
      <c r="L80" s="41"/>
      <c r="M80" s="41"/>
    </row>
    <row r="81" spans="2:13" s="5" customFormat="1" x14ac:dyDescent="0.2">
      <c r="B81" s="59" t="s">
        <v>1035</v>
      </c>
      <c r="C81" s="14" t="s">
        <v>1036</v>
      </c>
      <c r="D81" s="15" t="s">
        <v>823</v>
      </c>
      <c r="E81" s="15">
        <v>12</v>
      </c>
      <c r="F81" s="16"/>
      <c r="G81" s="25">
        <f t="shared" si="5"/>
        <v>0</v>
      </c>
      <c r="J81" s="41"/>
      <c r="K81" s="46"/>
      <c r="L81" s="41"/>
      <c r="M81" s="41"/>
    </row>
    <row r="82" spans="2:13" s="5" customFormat="1" x14ac:dyDescent="0.2">
      <c r="B82" s="59"/>
      <c r="C82" s="14"/>
      <c r="D82" s="15"/>
      <c r="E82" s="15"/>
      <c r="F82" s="16"/>
      <c r="G82" s="25"/>
      <c r="J82" s="41"/>
      <c r="K82" s="46"/>
      <c r="L82" s="41"/>
      <c r="M82" s="41"/>
    </row>
    <row r="83" spans="2:13" s="5" customFormat="1" ht="25.5" x14ac:dyDescent="0.2">
      <c r="B83" s="67" t="s">
        <v>245</v>
      </c>
      <c r="C83" s="20" t="s">
        <v>244</v>
      </c>
      <c r="D83" s="22"/>
      <c r="E83" s="26"/>
      <c r="F83" s="16"/>
      <c r="G83" s="25" t="str">
        <f t="shared" ref="G83:G96" si="6">IF(D83="","",E83*F83)</f>
        <v/>
      </c>
      <c r="J83" s="41"/>
      <c r="K83" s="46" t="str">
        <f t="shared" si="4"/>
        <v/>
      </c>
      <c r="L83" s="41"/>
      <c r="M83" s="41"/>
    </row>
    <row r="84" spans="2:13" s="5" customFormat="1" x14ac:dyDescent="0.2">
      <c r="B84" s="59"/>
      <c r="C84" s="14"/>
      <c r="D84" s="15"/>
      <c r="E84" s="26"/>
      <c r="F84" s="16"/>
      <c r="G84" s="25" t="str">
        <f t="shared" si="6"/>
        <v/>
      </c>
      <c r="J84" s="41"/>
      <c r="K84" s="46" t="str">
        <f t="shared" si="4"/>
        <v/>
      </c>
      <c r="L84" s="41"/>
      <c r="M84" s="41"/>
    </row>
    <row r="85" spans="2:13" s="5" customFormat="1" ht="25.5" x14ac:dyDescent="0.2">
      <c r="B85" s="51" t="s">
        <v>243</v>
      </c>
      <c r="C85" s="14" t="s">
        <v>242</v>
      </c>
      <c r="D85" s="22"/>
      <c r="E85" s="26"/>
      <c r="F85" s="16"/>
      <c r="G85" s="25" t="str">
        <f t="shared" si="6"/>
        <v/>
      </c>
      <c r="J85" s="41"/>
      <c r="K85" s="46" t="str">
        <f t="shared" si="4"/>
        <v/>
      </c>
      <c r="L85" s="41"/>
      <c r="M85" s="41"/>
    </row>
    <row r="86" spans="2:13" s="5" customFormat="1" x14ac:dyDescent="0.2">
      <c r="B86" s="59"/>
      <c r="C86" s="14"/>
      <c r="D86" s="15"/>
      <c r="E86" s="26"/>
      <c r="F86" s="16"/>
      <c r="G86" s="25" t="str">
        <f t="shared" si="6"/>
        <v/>
      </c>
      <c r="J86" s="41"/>
      <c r="K86" s="46" t="str">
        <f t="shared" si="4"/>
        <v/>
      </c>
      <c r="L86" s="41"/>
      <c r="M86" s="41"/>
    </row>
    <row r="87" spans="2:13" s="5" customFormat="1" x14ac:dyDescent="0.2">
      <c r="B87" s="51" t="s">
        <v>34</v>
      </c>
      <c r="C87" s="14" t="s">
        <v>320</v>
      </c>
      <c r="D87" s="22" t="s">
        <v>167</v>
      </c>
      <c r="E87" s="26">
        <v>12</v>
      </c>
      <c r="F87" s="16"/>
      <c r="G87" s="25">
        <f t="shared" si="6"/>
        <v>0</v>
      </c>
      <c r="J87" s="41" t="e">
        <f>_Sign</f>
        <v>#NAME?</v>
      </c>
      <c r="K87" s="46" t="e">
        <f t="shared" si="4"/>
        <v>#NAME?</v>
      </c>
      <c r="L87" s="41"/>
      <c r="M87" s="41"/>
    </row>
    <row r="88" spans="2:13" s="5" customFormat="1" x14ac:dyDescent="0.2">
      <c r="B88" s="59"/>
      <c r="C88" s="14"/>
      <c r="D88" s="15"/>
      <c r="E88" s="26"/>
      <c r="F88" s="16"/>
      <c r="G88" s="25" t="str">
        <f t="shared" si="6"/>
        <v/>
      </c>
      <c r="J88" s="41"/>
      <c r="K88" s="46" t="str">
        <f t="shared" si="4"/>
        <v/>
      </c>
      <c r="L88" s="41"/>
      <c r="M88" s="41"/>
    </row>
    <row r="89" spans="2:13" s="5" customFormat="1" x14ac:dyDescent="0.2">
      <c r="B89" s="51" t="s">
        <v>35</v>
      </c>
      <c r="C89" s="14" t="s">
        <v>321</v>
      </c>
      <c r="D89" s="22" t="s">
        <v>167</v>
      </c>
      <c r="E89" s="26">
        <v>24</v>
      </c>
      <c r="F89" s="16"/>
      <c r="G89" s="25">
        <f t="shared" si="6"/>
        <v>0</v>
      </c>
      <c r="J89" s="41" t="e">
        <f>_Sign</f>
        <v>#NAME?</v>
      </c>
      <c r="K89" s="46" t="e">
        <f t="shared" si="4"/>
        <v>#NAME?</v>
      </c>
      <c r="L89" s="41"/>
      <c r="M89" s="41"/>
    </row>
    <row r="90" spans="2:13" s="5" customFormat="1" x14ac:dyDescent="0.2">
      <c r="B90" s="59"/>
      <c r="C90" s="14"/>
      <c r="D90" s="15"/>
      <c r="E90" s="26"/>
      <c r="F90" s="16"/>
      <c r="G90" s="25" t="str">
        <f t="shared" si="6"/>
        <v/>
      </c>
      <c r="J90" s="41"/>
      <c r="K90" s="46" t="str">
        <f t="shared" si="4"/>
        <v/>
      </c>
      <c r="L90" s="41"/>
      <c r="M90" s="41"/>
    </row>
    <row r="91" spans="2:13" s="5" customFormat="1" x14ac:dyDescent="0.2">
      <c r="B91" s="51" t="s">
        <v>182</v>
      </c>
      <c r="C91" s="14" t="s">
        <v>323</v>
      </c>
      <c r="D91" s="22" t="s">
        <v>167</v>
      </c>
      <c r="E91" s="26">
        <v>24</v>
      </c>
      <c r="F91" s="16"/>
      <c r="G91" s="25">
        <f t="shared" si="6"/>
        <v>0</v>
      </c>
      <c r="J91" s="41" t="e">
        <f>_Sign</f>
        <v>#NAME?</v>
      </c>
      <c r="K91" s="46" t="e">
        <f t="shared" si="4"/>
        <v>#NAME?</v>
      </c>
      <c r="L91" s="41"/>
      <c r="M91" s="41"/>
    </row>
    <row r="92" spans="2:13" s="5" customFormat="1" x14ac:dyDescent="0.2">
      <c r="B92" s="59"/>
      <c r="C92" s="14"/>
      <c r="D92" s="15"/>
      <c r="E92" s="15"/>
      <c r="F92" s="16"/>
      <c r="G92" s="25" t="str">
        <f t="shared" si="6"/>
        <v/>
      </c>
      <c r="J92" s="41"/>
      <c r="K92" s="46" t="str">
        <f t="shared" si="4"/>
        <v/>
      </c>
      <c r="L92" s="41"/>
      <c r="M92" s="41"/>
    </row>
    <row r="93" spans="2:13" s="5" customFormat="1" x14ac:dyDescent="0.2">
      <c r="B93" s="51" t="s">
        <v>241</v>
      </c>
      <c r="C93" s="14" t="s">
        <v>240</v>
      </c>
      <c r="D93" s="22"/>
      <c r="E93" s="61"/>
      <c r="F93" s="16"/>
      <c r="G93" s="25" t="str">
        <f t="shared" si="6"/>
        <v/>
      </c>
      <c r="J93" s="41"/>
      <c r="K93" s="46" t="str">
        <f t="shared" si="4"/>
        <v/>
      </c>
      <c r="L93" s="41"/>
      <c r="M93" s="41"/>
    </row>
    <row r="94" spans="2:13" s="5" customFormat="1" x14ac:dyDescent="0.2">
      <c r="B94" s="59"/>
      <c r="C94" s="27"/>
      <c r="D94" s="61"/>
      <c r="E94" s="61"/>
      <c r="F94" s="16"/>
      <c r="G94" s="25" t="str">
        <f t="shared" si="6"/>
        <v/>
      </c>
      <c r="J94" s="41"/>
      <c r="K94" s="46" t="str">
        <f t="shared" si="4"/>
        <v/>
      </c>
      <c r="L94" s="41"/>
      <c r="M94" s="41"/>
    </row>
    <row r="95" spans="2:13" s="5" customFormat="1" ht="25.5" x14ac:dyDescent="0.2">
      <c r="B95" s="51" t="s">
        <v>239</v>
      </c>
      <c r="C95" s="28" t="s">
        <v>238</v>
      </c>
      <c r="D95" s="22" t="s">
        <v>33</v>
      </c>
      <c r="E95" s="15">
        <v>30</v>
      </c>
      <c r="F95" s="16"/>
      <c r="G95" s="25">
        <f t="shared" si="6"/>
        <v>0</v>
      </c>
      <c r="J95" s="41" t="e">
        <f>_Sign</f>
        <v>#NAME?</v>
      </c>
      <c r="K95" s="46" t="e">
        <f t="shared" si="4"/>
        <v>#NAME?</v>
      </c>
      <c r="L95" s="41"/>
      <c r="M95" s="41"/>
    </row>
    <row r="96" spans="2:13" s="5" customFormat="1" x14ac:dyDescent="0.2">
      <c r="B96" s="59"/>
      <c r="C96" s="14"/>
      <c r="D96" s="15"/>
      <c r="E96" s="26"/>
      <c r="F96" s="16"/>
      <c r="G96" s="25" t="str">
        <f t="shared" si="6"/>
        <v/>
      </c>
      <c r="J96" s="41"/>
      <c r="K96" s="46" t="str">
        <f t="shared" si="4"/>
        <v/>
      </c>
      <c r="L96" s="41"/>
      <c r="M96" s="41"/>
    </row>
    <row r="97" spans="2:13" s="5" customFormat="1" x14ac:dyDescent="0.2">
      <c r="B97" s="51"/>
      <c r="C97" s="28"/>
      <c r="D97" s="22"/>
      <c r="E97" s="26"/>
      <c r="F97" s="16"/>
      <c r="G97" s="25"/>
      <c r="J97" s="41"/>
      <c r="K97" s="46"/>
      <c r="L97" s="41"/>
      <c r="M97" s="41"/>
    </row>
    <row r="98" spans="2:13" s="5" customFormat="1" x14ac:dyDescent="0.2">
      <c r="B98" s="59"/>
      <c r="C98" s="14"/>
      <c r="D98" s="15"/>
      <c r="E98" s="26"/>
      <c r="F98" s="16"/>
      <c r="G98" s="25"/>
      <c r="J98" s="41"/>
      <c r="K98" s="46" t="str">
        <f t="shared" si="4"/>
        <v/>
      </c>
      <c r="L98" s="41"/>
      <c r="M98" s="41"/>
    </row>
    <row r="99" spans="2:13" s="5" customFormat="1" x14ac:dyDescent="0.2">
      <c r="B99" s="51"/>
      <c r="C99" s="14"/>
      <c r="D99" s="22"/>
      <c r="E99" s="26"/>
      <c r="F99" s="16"/>
      <c r="G99" s="25"/>
      <c r="J99" s="41"/>
      <c r="K99" s="46" t="str">
        <f t="shared" si="4"/>
        <v/>
      </c>
      <c r="L99" s="41"/>
      <c r="M99" s="41"/>
    </row>
    <row r="100" spans="2:13" s="5" customFormat="1" x14ac:dyDescent="0.2">
      <c r="B100" s="59"/>
      <c r="C100" s="14"/>
      <c r="D100" s="15"/>
      <c r="E100" s="26"/>
      <c r="F100" s="16"/>
      <c r="G100" s="25"/>
      <c r="J100" s="41"/>
      <c r="K100" s="46" t="str">
        <f t="shared" si="4"/>
        <v/>
      </c>
      <c r="L100" s="41"/>
      <c r="M100" s="41"/>
    </row>
    <row r="101" spans="2:13" s="5" customFormat="1" x14ac:dyDescent="0.2">
      <c r="B101" s="51"/>
      <c r="C101" s="14"/>
      <c r="D101" s="22"/>
      <c r="E101" s="26"/>
      <c r="F101" s="16"/>
      <c r="G101" s="25"/>
      <c r="J101" s="41"/>
      <c r="K101" s="46" t="str">
        <f t="shared" si="4"/>
        <v/>
      </c>
      <c r="L101" s="41"/>
      <c r="M101" s="41"/>
    </row>
    <row r="102" spans="2:13" s="5" customFormat="1" x14ac:dyDescent="0.2">
      <c r="B102" s="59"/>
      <c r="C102" s="14"/>
      <c r="D102" s="15"/>
      <c r="E102" s="15"/>
      <c r="F102" s="16"/>
      <c r="G102" s="25"/>
      <c r="J102" s="41"/>
      <c r="K102" s="46" t="str">
        <f>IF(J102="","",J102*E102)</f>
        <v/>
      </c>
      <c r="L102" s="41"/>
      <c r="M102" s="41"/>
    </row>
    <row r="103" spans="2:13" s="5" customFormat="1" x14ac:dyDescent="0.2">
      <c r="B103" s="51"/>
      <c r="C103" s="14"/>
      <c r="D103" s="22"/>
      <c r="E103" s="61"/>
      <c r="F103" s="16"/>
      <c r="G103" s="25"/>
      <c r="J103" s="41"/>
      <c r="K103" s="46" t="str">
        <f>IF(J103="","",J103*E103)</f>
        <v/>
      </c>
      <c r="L103" s="41"/>
      <c r="M103" s="41"/>
    </row>
    <row r="104" spans="2:13" s="5" customFormat="1" x14ac:dyDescent="0.2">
      <c r="B104" s="59"/>
      <c r="C104" s="27"/>
      <c r="D104" s="61"/>
      <c r="E104" s="61"/>
      <c r="F104" s="16"/>
      <c r="G104" s="25"/>
      <c r="J104" s="41"/>
      <c r="K104" s="46" t="str">
        <f>IF(J104="","",J104*E104)</f>
        <v/>
      </c>
      <c r="L104" s="41"/>
      <c r="M104" s="41"/>
    </row>
    <row r="105" spans="2:13" s="5" customFormat="1" x14ac:dyDescent="0.2">
      <c r="B105" s="51"/>
      <c r="C105" s="28"/>
      <c r="D105" s="22"/>
      <c r="E105" s="15"/>
      <c r="F105" s="16"/>
      <c r="G105" s="25"/>
      <c r="J105" s="41"/>
      <c r="K105" s="46" t="str">
        <f>IF(J105="","",J105*E105)</f>
        <v/>
      </c>
      <c r="L105" s="41"/>
      <c r="M105" s="41"/>
    </row>
    <row r="106" spans="2:13" s="5" customFormat="1" x14ac:dyDescent="0.2">
      <c r="B106" s="51"/>
      <c r="C106" s="14"/>
      <c r="D106" s="22"/>
      <c r="E106" s="26"/>
      <c r="F106" s="29"/>
      <c r="G106" s="25"/>
      <c r="J106" s="41"/>
      <c r="K106" s="46" t="str">
        <f>IF(J106="","",J106*E106)</f>
        <v/>
      </c>
      <c r="L106" s="41"/>
      <c r="M106" s="41"/>
    </row>
    <row r="107" spans="2:13" s="30" customFormat="1" ht="24.75" customHeight="1" x14ac:dyDescent="0.2">
      <c r="B107" s="77" t="str">
        <f>$B$11</f>
        <v>C11.6</v>
      </c>
      <c r="C107" s="32" t="s">
        <v>700</v>
      </c>
      <c r="D107" s="33"/>
      <c r="E107" s="34"/>
      <c r="F107" s="33"/>
      <c r="G107" s="352">
        <f>SUM(G61:G106)</f>
        <v>0</v>
      </c>
      <c r="H107" s="36"/>
      <c r="K107" s="35" t="e">
        <f>SUM(K61:K106)</f>
        <v>#NAME?</v>
      </c>
    </row>
  </sheetData>
  <mergeCells count="11">
    <mergeCell ref="E2:G2"/>
    <mergeCell ref="G5:G8"/>
    <mergeCell ref="B5:F5"/>
    <mergeCell ref="B6:F8"/>
    <mergeCell ref="B56:F56"/>
    <mergeCell ref="G56:G59"/>
    <mergeCell ref="B57:F59"/>
    <mergeCell ref="B53:D53"/>
    <mergeCell ref="E53:G55"/>
    <mergeCell ref="B54:D54"/>
    <mergeCell ref="B55:D55"/>
  </mergeCells>
  <pageMargins left="0.62992125984251968" right="0.43307086614173229" top="0.62992125984251968" bottom="0.55118110236220474" header="0.51181102362204722" footer="0.31496062992125984"/>
  <pageSetup paperSize="9" scale="78" firstPageNumber="151"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2" max="7" man="1"/>
  </rowBreaks>
  <extLst>
    <ext xmlns:x14="http://schemas.microsoft.com/office/spreadsheetml/2009/9/main" uri="{78C0D931-6437-407d-A8EE-F0AAD7539E65}">
      <x14:conditionalFormattings>
        <x14:conditionalFormatting xmlns:xm="http://schemas.microsoft.com/office/excel/2006/main">
          <x14:cfRule type="expression" priority="6" id="{8C39AB85-570E-44DA-8DC3-02BDB68AD697}">
            <xm:f>AND(Information!$C$8=FALSE,$D10&lt;&gt;"P C Sum",$D10&lt;&gt;"PC Sum",$D10&lt;&gt;"P Sum",$D10&lt;&gt;"Prov Sum")</xm:f>
            <x14:dxf>
              <font>
                <strike val="0"/>
                <color theme="0"/>
              </font>
              <numFmt numFmtId="4" formatCode="#,##0.00"/>
            </x14:dxf>
          </x14:cfRule>
          <xm:sqref>F63:G105 F10:G51</xm:sqref>
        </x14:conditionalFormatting>
        <x14:conditionalFormatting xmlns:xm="http://schemas.microsoft.com/office/excel/2006/main">
          <x14:cfRule type="expression" priority="5" id="{32AA66CA-1B1F-4C6B-B5F9-6E1718106D43}">
            <xm:f>AND(Information!$C$8=FALSE,$D52&lt;&gt;"P C Sum",$D52&lt;&gt;"PC Sum",$D52&lt;&gt;"P Sum",$D52&lt;&gt;"Prov Sum")</xm:f>
            <x14:dxf>
              <font>
                <strike val="0"/>
                <color theme="0"/>
              </font>
              <numFmt numFmtId="4" formatCode="#,##0.00"/>
            </x14:dxf>
          </x14:cfRule>
          <xm:sqref>G52</xm:sqref>
        </x14:conditionalFormatting>
        <x14:conditionalFormatting xmlns:xm="http://schemas.microsoft.com/office/excel/2006/main">
          <x14:cfRule type="expression" priority="2" id="{C20712CF-29B8-40E9-B0A3-5947C6952AB1}">
            <xm:f>AND(Information!$C$8=FALSE,$D61&lt;&gt;"P C Sum",$D61&lt;&gt;"PC Sum",$D61&lt;&gt;"P Sum",$D61&lt;&gt;"Prov Sum")</xm:f>
            <x14:dxf>
              <font>
                <strike val="0"/>
                <color theme="0"/>
              </font>
              <numFmt numFmtId="4" formatCode="#,##0.00"/>
            </x14:dxf>
          </x14:cfRule>
          <xm:sqref>G61</xm:sqref>
        </x14:conditionalFormatting>
        <x14:conditionalFormatting xmlns:xm="http://schemas.microsoft.com/office/excel/2006/main">
          <x14:cfRule type="expression" priority="1" id="{D85243D3-5E68-4947-BAB6-759F08251E35}">
            <xm:f>AND(Information!$C$8=FALSE,$D107&lt;&gt;"P C Sum",$D107&lt;&gt;"PC Sum",$D107&lt;&gt;"P Sum",$D107&lt;&gt;"Prov Sum")</xm:f>
            <x14:dxf>
              <font>
                <strike val="0"/>
                <color theme="0"/>
              </font>
              <numFmt numFmtId="4" formatCode="#,##0.00"/>
            </x14:dxf>
          </x14:cfRule>
          <xm:sqref>G107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3D5A-EBE2-4B8F-8AF9-8C64AAF38A90}">
  <sheetPr codeName="Sheet87">
    <tabColor rgb="FF00B050"/>
  </sheetPr>
  <dimension ref="B1:M93"/>
  <sheetViews>
    <sheetView view="pageBreakPreview" zoomScale="85" zoomScaleNormal="125" zoomScaleSheetLayoutView="85" zoomScalePageLayoutView="125" workbookViewId="0">
      <pane xSplit="4" ySplit="2" topLeftCell="E49" activePane="bottomRight" state="frozen"/>
      <selection activeCell="G5" sqref="G5:G8"/>
      <selection pane="topRight" activeCell="G5" sqref="G5:G8"/>
      <selection pane="bottomLeft" activeCell="G5" sqref="G5:G8"/>
      <selection pane="bottomRight" activeCell="E87" sqref="E87"/>
    </sheetView>
  </sheetViews>
  <sheetFormatPr defaultColWidth="8.85546875" defaultRowHeight="12" x14ac:dyDescent="0.2"/>
  <cols>
    <col min="1" max="1" width="0.85546875" style="85" customWidth="1"/>
    <col min="2" max="2" width="11.5703125" style="89" customWidth="1"/>
    <col min="3" max="3" width="45.5703125" style="88" customWidth="1"/>
    <col min="4" max="4" width="13.5703125" style="87" customWidth="1"/>
    <col min="5" max="5" width="15.5703125" style="87" customWidth="1"/>
    <col min="6" max="6" width="15.5703125" style="85" customWidth="1"/>
    <col min="7" max="7" width="15.5703125" style="86" customWidth="1"/>
    <col min="8" max="8" width="0.85546875" style="86" customWidth="1"/>
    <col min="9" max="10" width="8.85546875" style="85"/>
    <col min="11" max="11" width="10.42578125" style="85" bestFit="1" customWidth="1"/>
    <col min="12" max="16384" width="8.85546875" style="85"/>
  </cols>
  <sheetData>
    <row r="1" spans="2:13" ht="12.75" x14ac:dyDescent="0.2">
      <c r="G1" s="166">
        <f>MAX(G9:G528)</f>
        <v>0</v>
      </c>
    </row>
    <row r="2" spans="2:13" ht="12.75" x14ac:dyDescent="0.2">
      <c r="B2" s="630" t="str">
        <f>Client1</f>
        <v>Province of KwaZulu-Natal</v>
      </c>
      <c r="C2" s="662"/>
      <c r="D2" s="663"/>
      <c r="E2" s="703" t="str">
        <f>"Contract No. "&amp;ContractNo</f>
        <v>Contract No. ZNB02287/00000/00/MET/INF/24/T</v>
      </c>
      <c r="F2" s="703"/>
      <c r="G2" s="703"/>
      <c r="J2" s="293"/>
      <c r="K2" s="293">
        <f>MAX(K3:K273)</f>
        <v>108000</v>
      </c>
      <c r="L2" s="293"/>
      <c r="M2" s="294"/>
    </row>
    <row r="3" spans="2:13" ht="12.75" x14ac:dyDescent="0.2">
      <c r="B3" s="628" t="str">
        <f>Client2</f>
        <v>Department of Transport</v>
      </c>
      <c r="C3" s="662"/>
      <c r="D3" s="663"/>
      <c r="E3" s="663"/>
      <c r="F3" s="664"/>
      <c r="G3" s="665"/>
      <c r="J3" s="1" t="s">
        <v>470</v>
      </c>
      <c r="K3" s="1" t="s">
        <v>471</v>
      </c>
      <c r="L3" s="1" t="s">
        <v>472</v>
      </c>
      <c r="M3" s="1" t="s">
        <v>473</v>
      </c>
    </row>
    <row r="4" spans="2:13" ht="12.75" x14ac:dyDescent="0.2">
      <c r="B4" s="662"/>
      <c r="C4" s="662"/>
      <c r="D4" s="663"/>
      <c r="E4" s="663"/>
      <c r="F4" s="664"/>
      <c r="G4" s="665"/>
      <c r="J4" s="73"/>
      <c r="K4" s="73"/>
      <c r="L4" s="73"/>
      <c r="M4" s="73"/>
    </row>
    <row r="5" spans="2:13" ht="12.75" customHeight="1" x14ac:dyDescent="0.2">
      <c r="B5" s="698" t="s">
        <v>8</v>
      </c>
      <c r="C5" s="699"/>
      <c r="D5" s="699"/>
      <c r="E5" s="699"/>
      <c r="F5" s="699"/>
      <c r="G5" s="695" t="str">
        <f>"CHAPTER "&amp;B11</f>
        <v>CHAPTER C11.7</v>
      </c>
      <c r="H5" s="113"/>
      <c r="J5" s="1"/>
      <c r="K5" s="1"/>
      <c r="L5" s="1"/>
      <c r="M5" s="1"/>
    </row>
    <row r="6" spans="2:13" ht="7.5" customHeight="1" x14ac:dyDescent="0.2">
      <c r="B6" s="711" t="str">
        <f>ContractDescription</f>
        <v>PROVISION OF ROUTINE AND SAFETY MAINTENANCE ON MIAN ROAD P3/1 (KM 69.00 TO KM 77.96), P3/2 (KM 0.00 TO KM 11.50), P21/2(KM 0.00 TO KM 29.83 IN THE ETHEKWINI METRO - DURBAN REGION</v>
      </c>
      <c r="C6" s="712"/>
      <c r="D6" s="712"/>
      <c r="E6" s="712"/>
      <c r="F6" s="712"/>
      <c r="G6" s="696"/>
      <c r="H6" s="110"/>
      <c r="J6" s="1"/>
      <c r="K6" s="1"/>
      <c r="L6" s="1"/>
      <c r="M6" s="1"/>
    </row>
    <row r="7" spans="2:13" ht="12.75" customHeight="1" x14ac:dyDescent="0.2">
      <c r="B7" s="711"/>
      <c r="C7" s="712"/>
      <c r="D7" s="712"/>
      <c r="E7" s="712"/>
      <c r="F7" s="712"/>
      <c r="G7" s="696"/>
      <c r="H7" s="110"/>
      <c r="J7" s="1"/>
      <c r="K7" s="1"/>
      <c r="L7" s="1"/>
      <c r="M7" s="1"/>
    </row>
    <row r="8" spans="2:13" s="108" customFormat="1" ht="7.5" customHeight="1" x14ac:dyDescent="0.2">
      <c r="B8" s="713"/>
      <c r="C8" s="714"/>
      <c r="D8" s="714"/>
      <c r="E8" s="714"/>
      <c r="F8" s="714"/>
      <c r="G8" s="697"/>
      <c r="H8" s="109"/>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ht="12.75" x14ac:dyDescent="0.2">
      <c r="B10" s="666"/>
      <c r="C10" s="646"/>
      <c r="D10" s="667"/>
      <c r="E10" s="667"/>
      <c r="F10" s="668"/>
      <c r="G10" s="25" t="str">
        <f>IF(D10="","",E10*F10)</f>
        <v/>
      </c>
      <c r="H10" s="103"/>
      <c r="J10" s="16"/>
      <c r="K10" s="16"/>
      <c r="L10" s="16"/>
      <c r="M10" s="16"/>
    </row>
    <row r="11" spans="2:13" ht="12.75" x14ac:dyDescent="0.2">
      <c r="B11" s="47" t="s">
        <v>298</v>
      </c>
      <c r="C11" s="20" t="s">
        <v>297</v>
      </c>
      <c r="D11" s="667"/>
      <c r="E11" s="667"/>
      <c r="F11" s="668"/>
      <c r="G11" s="25" t="str">
        <f>IF(D11="","",E11*F11)</f>
        <v/>
      </c>
      <c r="H11" s="103"/>
      <c r="J11" s="41"/>
      <c r="K11" s="41"/>
      <c r="L11" s="41"/>
      <c r="M11" s="41"/>
    </row>
    <row r="12" spans="2:13" s="405" customFormat="1" ht="10.5" customHeight="1" x14ac:dyDescent="0.2">
      <c r="B12" s="666"/>
      <c r="C12" s="646"/>
      <c r="D12" s="667"/>
      <c r="E12" s="667"/>
      <c r="F12" s="668"/>
      <c r="G12" s="25" t="str">
        <f>IF(D12="","",E12*F12)</f>
        <v/>
      </c>
      <c r="H12" s="404"/>
      <c r="J12" s="406"/>
      <c r="K12" s="406"/>
      <c r="L12" s="406"/>
      <c r="M12" s="406"/>
    </row>
    <row r="13" spans="2:13" ht="12.75" x14ac:dyDescent="0.2">
      <c r="B13" s="449" t="s">
        <v>296</v>
      </c>
      <c r="C13" s="20" t="s">
        <v>295</v>
      </c>
      <c r="D13" s="667"/>
      <c r="E13" s="667"/>
      <c r="F13" s="668"/>
      <c r="G13" s="25"/>
      <c r="H13" s="103"/>
      <c r="J13" s="24"/>
      <c r="K13" s="46" t="str">
        <f t="shared" ref="K13:K80" si="0">IF(J13="","",J13*E13)</f>
        <v/>
      </c>
      <c r="L13" s="24"/>
      <c r="M13" s="24"/>
    </row>
    <row r="14" spans="2:13" s="405" customFormat="1" ht="12.75" x14ac:dyDescent="0.2">
      <c r="B14" s="669"/>
      <c r="C14" s="646"/>
      <c r="D14" s="667"/>
      <c r="E14" s="667"/>
      <c r="F14" s="668"/>
      <c r="G14" s="25"/>
      <c r="H14" s="404"/>
      <c r="J14" s="406"/>
      <c r="K14" s="408" t="str">
        <f t="shared" si="0"/>
        <v/>
      </c>
      <c r="L14" s="406"/>
      <c r="M14" s="406"/>
    </row>
    <row r="15" spans="2:13" ht="25.5" x14ac:dyDescent="0.2">
      <c r="B15" s="666" t="s">
        <v>294</v>
      </c>
      <c r="C15" s="646" t="s">
        <v>412</v>
      </c>
      <c r="D15" s="670"/>
      <c r="E15" s="23"/>
      <c r="F15" s="668"/>
      <c r="G15" s="25" t="str">
        <f t="shared" ref="G15:G31" si="1">IF(D15="","",E15*F15)</f>
        <v/>
      </c>
      <c r="H15" s="106"/>
      <c r="J15" s="41"/>
      <c r="K15" s="46" t="str">
        <f t="shared" si="0"/>
        <v/>
      </c>
      <c r="L15" s="41"/>
      <c r="M15" s="41"/>
    </row>
    <row r="16" spans="2:13" s="405" customFormat="1" ht="12.75" x14ac:dyDescent="0.2">
      <c r="B16" s="666"/>
      <c r="C16" s="646"/>
      <c r="D16" s="670"/>
      <c r="E16" s="23"/>
      <c r="F16" s="668"/>
      <c r="G16" s="25" t="str">
        <f t="shared" si="1"/>
        <v/>
      </c>
      <c r="H16" s="409"/>
      <c r="J16" s="406"/>
      <c r="K16" s="408" t="str">
        <f t="shared" si="0"/>
        <v/>
      </c>
      <c r="L16" s="406"/>
      <c r="M16" s="406"/>
    </row>
    <row r="17" spans="2:13" ht="12.75" x14ac:dyDescent="0.2">
      <c r="B17" s="666"/>
      <c r="C17" s="671" t="s">
        <v>1126</v>
      </c>
      <c r="D17" s="672" t="s">
        <v>22</v>
      </c>
      <c r="E17" s="23">
        <v>480</v>
      </c>
      <c r="F17" s="668"/>
      <c r="G17" s="25">
        <f t="shared" si="1"/>
        <v>0</v>
      </c>
      <c r="H17" s="106"/>
      <c r="J17" s="338">
        <f>ROUND(3%*F17,0)</f>
        <v>0</v>
      </c>
      <c r="K17" s="46">
        <f t="shared" si="0"/>
        <v>0</v>
      </c>
      <c r="L17" s="41"/>
      <c r="M17" s="41"/>
    </row>
    <row r="18" spans="2:13" s="405" customFormat="1" ht="12.75" x14ac:dyDescent="0.2">
      <c r="B18" s="666"/>
      <c r="C18" s="671"/>
      <c r="D18" s="672"/>
      <c r="E18" s="23"/>
      <c r="F18" s="668"/>
      <c r="G18" s="25" t="str">
        <f t="shared" si="1"/>
        <v/>
      </c>
      <c r="H18" s="409"/>
      <c r="J18" s="406"/>
      <c r="K18" s="408" t="str">
        <f t="shared" si="0"/>
        <v/>
      </c>
      <c r="L18" s="406"/>
      <c r="M18" s="406"/>
    </row>
    <row r="19" spans="2:13" ht="12.75" x14ac:dyDescent="0.2">
      <c r="B19" s="666"/>
      <c r="C19" s="671" t="s">
        <v>414</v>
      </c>
      <c r="D19" s="672" t="s">
        <v>22</v>
      </c>
      <c r="E19" s="23">
        <v>150</v>
      </c>
      <c r="F19" s="668"/>
      <c r="G19" s="25">
        <f t="shared" si="1"/>
        <v>0</v>
      </c>
      <c r="H19" s="106"/>
      <c r="J19" s="338">
        <f>ROUND(3%*F19,0)</f>
        <v>0</v>
      </c>
      <c r="K19" s="46">
        <f t="shared" si="0"/>
        <v>0</v>
      </c>
      <c r="L19" s="41"/>
      <c r="M19" s="41"/>
    </row>
    <row r="20" spans="2:13" ht="12.75" x14ac:dyDescent="0.2">
      <c r="B20" s="666"/>
      <c r="C20" s="671"/>
      <c r="D20" s="672"/>
      <c r="E20" s="23"/>
      <c r="F20" s="668"/>
      <c r="G20" s="25" t="str">
        <f t="shared" si="1"/>
        <v/>
      </c>
      <c r="H20" s="106"/>
      <c r="J20" s="338"/>
      <c r="K20" s="46"/>
      <c r="L20" s="41"/>
      <c r="M20" s="41"/>
    </row>
    <row r="21" spans="2:13" ht="12.75" x14ac:dyDescent="0.2">
      <c r="B21" s="666"/>
      <c r="C21" s="671" t="s">
        <v>1054</v>
      </c>
      <c r="D21" s="672" t="s">
        <v>22</v>
      </c>
      <c r="E21" s="23">
        <v>3</v>
      </c>
      <c r="F21" s="668"/>
      <c r="G21" s="25">
        <f t="shared" si="1"/>
        <v>0</v>
      </c>
      <c r="H21" s="106"/>
      <c r="J21" s="338"/>
      <c r="K21" s="46"/>
      <c r="L21" s="41"/>
      <c r="M21" s="41"/>
    </row>
    <row r="22" spans="2:13" s="405" customFormat="1" ht="12.75" x14ac:dyDescent="0.2">
      <c r="B22" s="673"/>
      <c r="C22" s="646"/>
      <c r="D22" s="667"/>
      <c r="E22" s="26"/>
      <c r="F22" s="668"/>
      <c r="G22" s="25" t="str">
        <f t="shared" si="1"/>
        <v/>
      </c>
      <c r="H22" s="404"/>
      <c r="J22" s="406"/>
      <c r="K22" s="408" t="str">
        <f t="shared" si="0"/>
        <v/>
      </c>
      <c r="L22" s="406"/>
      <c r="M22" s="406"/>
    </row>
    <row r="23" spans="2:13" ht="25.5" x14ac:dyDescent="0.2">
      <c r="B23" s="666" t="s">
        <v>293</v>
      </c>
      <c r="C23" s="646" t="s">
        <v>415</v>
      </c>
      <c r="D23" s="670"/>
      <c r="E23" s="26"/>
      <c r="F23" s="668"/>
      <c r="G23" s="25" t="str">
        <f t="shared" si="1"/>
        <v/>
      </c>
      <c r="H23" s="103"/>
      <c r="J23" s="41"/>
      <c r="K23" s="46" t="str">
        <f t="shared" si="0"/>
        <v/>
      </c>
      <c r="L23" s="41"/>
      <c r="M23" s="41"/>
    </row>
    <row r="24" spans="2:13" s="405" customFormat="1" ht="12.75" x14ac:dyDescent="0.2">
      <c r="B24" s="666"/>
      <c r="C24" s="646"/>
      <c r="D24" s="670"/>
      <c r="E24" s="26"/>
      <c r="F24" s="668"/>
      <c r="G24" s="25" t="str">
        <f t="shared" si="1"/>
        <v/>
      </c>
      <c r="H24" s="404"/>
      <c r="J24" s="406"/>
      <c r="K24" s="408" t="str">
        <f t="shared" si="0"/>
        <v/>
      </c>
      <c r="L24" s="406"/>
      <c r="M24" s="406"/>
    </row>
    <row r="25" spans="2:13" ht="12.75" x14ac:dyDescent="0.2">
      <c r="B25" s="666"/>
      <c r="C25" s="671" t="s">
        <v>1126</v>
      </c>
      <c r="D25" s="672" t="s">
        <v>22</v>
      </c>
      <c r="E25" s="26">
        <v>260</v>
      </c>
      <c r="F25" s="668"/>
      <c r="G25" s="25">
        <f t="shared" si="1"/>
        <v>0</v>
      </c>
      <c r="H25" s="103"/>
      <c r="J25" s="338">
        <f>ROUND(3%*F25,0)</f>
        <v>0</v>
      </c>
      <c r="K25" s="46">
        <f t="shared" si="0"/>
        <v>0</v>
      </c>
      <c r="L25" s="41"/>
      <c r="M25" s="41"/>
    </row>
    <row r="26" spans="2:13" ht="12.75" x14ac:dyDescent="0.2">
      <c r="B26" s="666"/>
      <c r="C26" s="671"/>
      <c r="D26" s="672"/>
      <c r="E26" s="26"/>
      <c r="F26" s="668"/>
      <c r="G26" s="25" t="str">
        <f t="shared" si="1"/>
        <v/>
      </c>
      <c r="H26" s="103"/>
      <c r="J26" s="338"/>
      <c r="K26" s="46"/>
      <c r="L26" s="41"/>
      <c r="M26" s="41"/>
    </row>
    <row r="27" spans="2:13" ht="12.75" x14ac:dyDescent="0.2">
      <c r="B27" s="666"/>
      <c r="C27" s="671" t="s">
        <v>414</v>
      </c>
      <c r="D27" s="672" t="s">
        <v>22</v>
      </c>
      <c r="E27" s="26">
        <v>12</v>
      </c>
      <c r="F27" s="668"/>
      <c r="G27" s="25">
        <f t="shared" si="1"/>
        <v>0</v>
      </c>
      <c r="H27" s="103"/>
      <c r="J27" s="338"/>
      <c r="K27" s="46"/>
      <c r="L27" s="41"/>
      <c r="M27" s="41"/>
    </row>
    <row r="28" spans="2:13" ht="12.75" x14ac:dyDescent="0.2">
      <c r="B28" s="666"/>
      <c r="C28" s="671"/>
      <c r="D28" s="672"/>
      <c r="E28" s="26"/>
      <c r="F28" s="668"/>
      <c r="G28" s="25" t="str">
        <f t="shared" si="1"/>
        <v/>
      </c>
      <c r="H28" s="103"/>
      <c r="J28" s="338"/>
      <c r="K28" s="46"/>
      <c r="L28" s="41"/>
      <c r="M28" s="41"/>
    </row>
    <row r="29" spans="2:13" ht="12.75" x14ac:dyDescent="0.2">
      <c r="B29" s="666"/>
      <c r="C29" s="671" t="s">
        <v>1054</v>
      </c>
      <c r="D29" s="672" t="s">
        <v>22</v>
      </c>
      <c r="E29" s="26">
        <v>3</v>
      </c>
      <c r="F29" s="668"/>
      <c r="G29" s="25">
        <f t="shared" si="1"/>
        <v>0</v>
      </c>
      <c r="H29" s="103"/>
      <c r="J29" s="338"/>
      <c r="K29" s="46"/>
      <c r="L29" s="41"/>
      <c r="M29" s="41"/>
    </row>
    <row r="30" spans="2:13" s="405" customFormat="1" ht="12.75" x14ac:dyDescent="0.2">
      <c r="B30" s="673"/>
      <c r="C30" s="646"/>
      <c r="D30" s="667"/>
      <c r="E30" s="26"/>
      <c r="F30" s="668"/>
      <c r="G30" s="25" t="str">
        <f t="shared" si="1"/>
        <v/>
      </c>
      <c r="H30" s="410"/>
      <c r="J30" s="406"/>
      <c r="K30" s="408" t="str">
        <f t="shared" si="0"/>
        <v/>
      </c>
      <c r="L30" s="406"/>
      <c r="M30" s="406"/>
    </row>
    <row r="31" spans="2:13" ht="25.5" hidden="1" x14ac:dyDescent="0.2">
      <c r="B31" s="666" t="s">
        <v>292</v>
      </c>
      <c r="C31" s="674" t="s">
        <v>416</v>
      </c>
      <c r="D31" s="670"/>
      <c r="E31" s="26"/>
      <c r="F31" s="668"/>
      <c r="G31" s="25" t="str">
        <f t="shared" si="1"/>
        <v/>
      </c>
      <c r="H31" s="104"/>
      <c r="J31" s="41"/>
      <c r="K31" s="46" t="str">
        <f t="shared" si="0"/>
        <v/>
      </c>
      <c r="L31" s="41"/>
      <c r="M31" s="41"/>
    </row>
    <row r="32" spans="2:13" s="405" customFormat="1" ht="12.75" hidden="1" x14ac:dyDescent="0.2">
      <c r="B32" s="666"/>
      <c r="C32" s="675"/>
      <c r="D32" s="670"/>
      <c r="E32" s="26"/>
      <c r="F32" s="668"/>
      <c r="G32" s="25"/>
      <c r="H32" s="412"/>
      <c r="J32" s="406"/>
      <c r="K32" s="408" t="str">
        <f t="shared" si="0"/>
        <v/>
      </c>
      <c r="L32" s="406"/>
      <c r="M32" s="406"/>
    </row>
    <row r="33" spans="2:13" ht="12.75" hidden="1" x14ac:dyDescent="0.2">
      <c r="B33" s="666"/>
      <c r="C33" s="671" t="s">
        <v>1055</v>
      </c>
      <c r="D33" s="670" t="s">
        <v>22</v>
      </c>
      <c r="E33" s="26">
        <v>1</v>
      </c>
      <c r="F33" s="668"/>
      <c r="G33" s="25">
        <f t="shared" ref="G33:G82" si="2">IF(D33="","",E33*F33)</f>
        <v>0</v>
      </c>
      <c r="H33" s="104"/>
      <c r="J33" s="338">
        <f>ROUND(3%*F33,0)</f>
        <v>0</v>
      </c>
      <c r="K33" s="46">
        <f t="shared" si="0"/>
        <v>0</v>
      </c>
      <c r="L33" s="41"/>
      <c r="M33" s="41"/>
    </row>
    <row r="34" spans="2:13" ht="12.75" x14ac:dyDescent="0.2">
      <c r="B34" s="666"/>
      <c r="C34" s="671"/>
      <c r="D34" s="672"/>
      <c r="E34" s="23"/>
      <c r="F34" s="668"/>
      <c r="G34" s="25" t="str">
        <f t="shared" si="2"/>
        <v/>
      </c>
      <c r="H34" s="106"/>
      <c r="J34" s="338"/>
      <c r="K34" s="46" t="str">
        <f t="shared" si="0"/>
        <v/>
      </c>
      <c r="L34" s="41"/>
      <c r="M34" s="41"/>
    </row>
    <row r="35" spans="2:13" ht="25.5" x14ac:dyDescent="0.2">
      <c r="B35" s="666" t="s">
        <v>1037</v>
      </c>
      <c r="C35" s="671" t="s">
        <v>1041</v>
      </c>
      <c r="D35" s="672" t="s">
        <v>51</v>
      </c>
      <c r="E35" s="23">
        <v>250</v>
      </c>
      <c r="F35" s="668"/>
      <c r="G35" s="25">
        <f t="shared" si="2"/>
        <v>0</v>
      </c>
      <c r="H35" s="106"/>
      <c r="J35" s="338"/>
      <c r="K35" s="46"/>
      <c r="L35" s="41"/>
      <c r="M35" s="41"/>
    </row>
    <row r="36" spans="2:13" ht="12.75" x14ac:dyDescent="0.2">
      <c r="B36" s="666"/>
      <c r="C36" s="671"/>
      <c r="D36" s="672"/>
      <c r="E36" s="23"/>
      <c r="F36" s="668"/>
      <c r="G36" s="25" t="str">
        <f t="shared" si="2"/>
        <v/>
      </c>
      <c r="H36" s="106"/>
      <c r="J36" s="338"/>
      <c r="K36" s="46"/>
      <c r="L36" s="41"/>
      <c r="M36" s="41"/>
    </row>
    <row r="37" spans="2:13" ht="25.5" x14ac:dyDescent="0.2">
      <c r="B37" s="666" t="s">
        <v>1038</v>
      </c>
      <c r="C37" s="671" t="s">
        <v>1042</v>
      </c>
      <c r="D37" s="672" t="s">
        <v>51</v>
      </c>
      <c r="E37" s="23">
        <v>90</v>
      </c>
      <c r="F37" s="668"/>
      <c r="G37" s="25">
        <f t="shared" si="2"/>
        <v>0</v>
      </c>
      <c r="H37" s="106"/>
      <c r="J37" s="338"/>
      <c r="K37" s="46"/>
      <c r="L37" s="41"/>
      <c r="M37" s="41"/>
    </row>
    <row r="38" spans="2:13" ht="12.75" x14ac:dyDescent="0.2">
      <c r="B38" s="666"/>
      <c r="C38" s="671"/>
      <c r="D38" s="672"/>
      <c r="E38" s="23"/>
      <c r="F38" s="668"/>
      <c r="G38" s="25" t="str">
        <f t="shared" si="2"/>
        <v/>
      </c>
      <c r="H38" s="106"/>
      <c r="J38" s="338"/>
      <c r="K38" s="46"/>
      <c r="L38" s="41"/>
      <c r="M38" s="41"/>
    </row>
    <row r="39" spans="2:13" ht="25.5" hidden="1" x14ac:dyDescent="0.2">
      <c r="B39" s="666" t="s">
        <v>1039</v>
      </c>
      <c r="C39" s="671" t="s">
        <v>1043</v>
      </c>
      <c r="D39" s="672" t="s">
        <v>51</v>
      </c>
      <c r="E39" s="23">
        <v>3</v>
      </c>
      <c r="F39" s="668"/>
      <c r="G39" s="25">
        <f t="shared" si="2"/>
        <v>0</v>
      </c>
      <c r="H39" s="106"/>
      <c r="J39" s="338"/>
      <c r="K39" s="46"/>
      <c r="L39" s="41"/>
      <c r="M39" s="41"/>
    </row>
    <row r="40" spans="2:13" ht="38.25" x14ac:dyDescent="0.2">
      <c r="B40" s="666" t="s">
        <v>1040</v>
      </c>
      <c r="C40" s="671" t="s">
        <v>1044</v>
      </c>
      <c r="D40" s="672" t="s">
        <v>51</v>
      </c>
      <c r="E40" s="23">
        <v>2000</v>
      </c>
      <c r="F40" s="668"/>
      <c r="G40" s="25">
        <f t="shared" si="2"/>
        <v>0</v>
      </c>
      <c r="H40" s="106"/>
      <c r="J40" s="338"/>
      <c r="K40" s="46"/>
      <c r="L40" s="41"/>
      <c r="M40" s="41"/>
    </row>
    <row r="41" spans="2:13" s="405" customFormat="1" ht="12.75" x14ac:dyDescent="0.2">
      <c r="B41" s="673"/>
      <c r="C41" s="676"/>
      <c r="D41" s="677"/>
      <c r="E41" s="26"/>
      <c r="F41" s="668"/>
      <c r="G41" s="25"/>
      <c r="H41" s="412"/>
      <c r="J41" s="406"/>
      <c r="K41" s="408"/>
      <c r="L41" s="406"/>
      <c r="M41" s="406"/>
    </row>
    <row r="42" spans="2:13" ht="25.5" x14ac:dyDescent="0.2">
      <c r="B42" s="666" t="s">
        <v>291</v>
      </c>
      <c r="C42" s="674" t="s">
        <v>417</v>
      </c>
      <c r="D42" s="670" t="s">
        <v>51</v>
      </c>
      <c r="E42" s="26">
        <v>800</v>
      </c>
      <c r="F42" s="668"/>
      <c r="G42" s="25">
        <f t="shared" si="2"/>
        <v>0</v>
      </c>
      <c r="H42" s="106"/>
      <c r="J42" s="338">
        <f>ROUND(10%*F42,0)</f>
        <v>0</v>
      </c>
      <c r="K42" s="46">
        <f t="shared" si="0"/>
        <v>0</v>
      </c>
      <c r="L42" s="41"/>
      <c r="M42" s="41"/>
    </row>
    <row r="43" spans="2:13" s="405" customFormat="1" ht="12.75" x14ac:dyDescent="0.2">
      <c r="B43" s="673"/>
      <c r="C43" s="646"/>
      <c r="D43" s="667"/>
      <c r="E43" s="26"/>
      <c r="F43" s="668"/>
      <c r="G43" s="25" t="str">
        <f t="shared" si="2"/>
        <v/>
      </c>
      <c r="H43" s="404"/>
      <c r="J43" s="406"/>
      <c r="K43" s="408" t="str">
        <f t="shared" si="0"/>
        <v/>
      </c>
      <c r="L43" s="406"/>
      <c r="M43" s="406"/>
    </row>
    <row r="44" spans="2:13" ht="25.5" x14ac:dyDescent="0.2">
      <c r="B44" s="666" t="s">
        <v>290</v>
      </c>
      <c r="C44" s="646" t="s">
        <v>418</v>
      </c>
      <c r="D44" s="670" t="s">
        <v>51</v>
      </c>
      <c r="E44" s="26">
        <v>1200</v>
      </c>
      <c r="F44" s="668"/>
      <c r="G44" s="25">
        <f t="shared" si="2"/>
        <v>0</v>
      </c>
      <c r="H44" s="103"/>
      <c r="J44" s="338">
        <f>ROUND(10%*F44,0)</f>
        <v>0</v>
      </c>
      <c r="K44" s="46">
        <f>IF(J44="","",J44*E44)</f>
        <v>0</v>
      </c>
      <c r="L44" s="41"/>
      <c r="M44" s="41"/>
    </row>
    <row r="45" spans="2:13" s="405" customFormat="1" ht="12.75" x14ac:dyDescent="0.2">
      <c r="B45" s="673"/>
      <c r="C45" s="646"/>
      <c r="D45" s="667"/>
      <c r="E45" s="26"/>
      <c r="F45" s="668"/>
      <c r="G45" s="25" t="str">
        <f t="shared" si="2"/>
        <v/>
      </c>
      <c r="H45" s="404"/>
      <c r="J45" s="406"/>
      <c r="K45" s="408" t="str">
        <f t="shared" si="0"/>
        <v/>
      </c>
      <c r="L45" s="406"/>
      <c r="M45" s="406"/>
    </row>
    <row r="46" spans="2:13" ht="38.25" x14ac:dyDescent="0.2">
      <c r="B46" s="666" t="s">
        <v>289</v>
      </c>
      <c r="C46" s="646" t="s">
        <v>419</v>
      </c>
      <c r="D46" s="670" t="s">
        <v>51</v>
      </c>
      <c r="E46" s="26">
        <v>400</v>
      </c>
      <c r="F46" s="668"/>
      <c r="G46" s="25">
        <f t="shared" si="2"/>
        <v>0</v>
      </c>
      <c r="H46" s="103"/>
      <c r="J46" s="338">
        <f>ROUND(10%*F46,0)</f>
        <v>0</v>
      </c>
      <c r="K46" s="46">
        <f>IF(J46="","",J46*E46)</f>
        <v>0</v>
      </c>
      <c r="L46" s="41"/>
      <c r="M46" s="41"/>
    </row>
    <row r="47" spans="2:13" ht="12.75" x14ac:dyDescent="0.2">
      <c r="B47" s="666"/>
      <c r="C47" s="646"/>
      <c r="D47" s="670"/>
      <c r="E47" s="26"/>
      <c r="F47" s="668"/>
      <c r="G47" s="25"/>
      <c r="H47" s="103"/>
      <c r="J47" s="338"/>
      <c r="K47" s="46"/>
      <c r="L47" s="41"/>
      <c r="M47" s="41"/>
    </row>
    <row r="48" spans="2:13" ht="12.75" x14ac:dyDescent="0.2">
      <c r="B48" s="128" t="s">
        <v>1045</v>
      </c>
      <c r="C48" s="128" t="s">
        <v>1046</v>
      </c>
      <c r="D48" s="670"/>
      <c r="E48" s="26"/>
      <c r="F48" s="668"/>
      <c r="G48" s="25"/>
      <c r="H48" s="103"/>
      <c r="J48" s="338"/>
      <c r="K48" s="46"/>
      <c r="L48" s="41"/>
      <c r="M48" s="41"/>
    </row>
    <row r="49" spans="2:13" ht="12.75" x14ac:dyDescent="0.2">
      <c r="B49" s="666"/>
      <c r="C49" s="646"/>
      <c r="D49" s="670"/>
      <c r="E49" s="26"/>
      <c r="F49" s="668"/>
      <c r="G49" s="25"/>
      <c r="H49" s="103"/>
      <c r="J49" s="338"/>
      <c r="K49" s="46"/>
      <c r="L49" s="41"/>
      <c r="M49" s="41"/>
    </row>
    <row r="50" spans="2:13" ht="12.75" x14ac:dyDescent="0.2">
      <c r="B50" s="666" t="s">
        <v>1047</v>
      </c>
      <c r="C50" s="646" t="s">
        <v>1048</v>
      </c>
      <c r="D50" s="670"/>
      <c r="E50" s="26"/>
      <c r="F50" s="668"/>
      <c r="G50" s="25"/>
      <c r="H50" s="103"/>
      <c r="J50" s="338"/>
      <c r="K50" s="46"/>
      <c r="L50" s="41"/>
      <c r="M50" s="41"/>
    </row>
    <row r="51" spans="2:13" ht="12.75" x14ac:dyDescent="0.2">
      <c r="B51" s="666"/>
      <c r="C51" s="646"/>
      <c r="D51" s="670"/>
      <c r="E51" s="26"/>
      <c r="F51" s="668"/>
      <c r="G51" s="25"/>
      <c r="H51" s="103"/>
      <c r="J51" s="338"/>
      <c r="K51" s="46"/>
      <c r="L51" s="41"/>
      <c r="M51" s="41"/>
    </row>
    <row r="52" spans="2:13" ht="12.75" x14ac:dyDescent="0.2">
      <c r="B52" s="666"/>
      <c r="C52" s="671" t="s">
        <v>705</v>
      </c>
      <c r="D52" s="672" t="s">
        <v>22</v>
      </c>
      <c r="E52" s="23">
        <v>12</v>
      </c>
      <c r="F52" s="668"/>
      <c r="G52" s="25">
        <f t="shared" si="2"/>
        <v>0</v>
      </c>
      <c r="H52" s="103"/>
      <c r="J52" s="41"/>
      <c r="K52" s="46"/>
      <c r="L52" s="41"/>
      <c r="M52" s="41"/>
    </row>
    <row r="53" spans="2:13" s="405" customFormat="1" ht="12.75" x14ac:dyDescent="0.2">
      <c r="B53" s="666"/>
      <c r="C53" s="671"/>
      <c r="D53" s="672"/>
      <c r="E53" s="23"/>
      <c r="F53" s="668"/>
      <c r="G53" s="25" t="str">
        <f t="shared" si="2"/>
        <v/>
      </c>
      <c r="H53" s="404"/>
      <c r="J53" s="406"/>
      <c r="K53" s="408"/>
      <c r="L53" s="406"/>
      <c r="M53" s="406"/>
    </row>
    <row r="54" spans="2:13" ht="12.75" x14ac:dyDescent="0.2">
      <c r="B54" s="666"/>
      <c r="C54" s="671" t="s">
        <v>706</v>
      </c>
      <c r="D54" s="672" t="s">
        <v>22</v>
      </c>
      <c r="E54" s="23">
        <v>6</v>
      </c>
      <c r="F54" s="668"/>
      <c r="G54" s="25">
        <f t="shared" si="2"/>
        <v>0</v>
      </c>
      <c r="H54" s="103"/>
      <c r="J54" s="41"/>
      <c r="K54" s="46"/>
      <c r="L54" s="41"/>
      <c r="M54" s="41"/>
    </row>
    <row r="55" spans="2:13" s="405" customFormat="1" ht="12.75" x14ac:dyDescent="0.2">
      <c r="B55" s="666"/>
      <c r="C55" s="646"/>
      <c r="D55" s="670"/>
      <c r="E55" s="26"/>
      <c r="F55" s="668"/>
      <c r="G55" s="25" t="str">
        <f t="shared" si="2"/>
        <v/>
      </c>
      <c r="H55" s="404"/>
      <c r="J55" s="406"/>
      <c r="K55" s="408"/>
      <c r="L55" s="406"/>
      <c r="M55" s="406"/>
    </row>
    <row r="56" spans="2:13" ht="12.75" x14ac:dyDescent="0.2">
      <c r="B56" s="666"/>
      <c r="C56" s="671" t="s">
        <v>707</v>
      </c>
      <c r="D56" s="672" t="s">
        <v>22</v>
      </c>
      <c r="E56" s="26">
        <v>12</v>
      </c>
      <c r="F56" s="668"/>
      <c r="G56" s="25">
        <f t="shared" si="2"/>
        <v>0</v>
      </c>
      <c r="H56" s="103"/>
      <c r="J56" s="41"/>
      <c r="K56" s="46"/>
      <c r="L56" s="41"/>
      <c r="M56" s="41"/>
    </row>
    <row r="57" spans="2:13" s="405" customFormat="1" ht="12.75" x14ac:dyDescent="0.2">
      <c r="B57" s="673"/>
      <c r="C57" s="646"/>
      <c r="D57" s="667"/>
      <c r="E57" s="26"/>
      <c r="F57" s="668"/>
      <c r="G57" s="25" t="str">
        <f t="shared" si="2"/>
        <v/>
      </c>
      <c r="H57" s="404"/>
      <c r="J57" s="406"/>
      <c r="K57" s="408"/>
      <c r="L57" s="406"/>
      <c r="M57" s="406"/>
    </row>
    <row r="58" spans="2:13" ht="12.75" hidden="1" x14ac:dyDescent="0.2">
      <c r="B58" s="666"/>
      <c r="C58" s="671" t="s">
        <v>708</v>
      </c>
      <c r="D58" s="670" t="s">
        <v>22</v>
      </c>
      <c r="E58" s="391">
        <v>1.2</v>
      </c>
      <c r="F58" s="668"/>
      <c r="G58" s="25">
        <f t="shared" si="2"/>
        <v>0</v>
      </c>
      <c r="H58" s="103"/>
      <c r="J58" s="41"/>
      <c r="K58" s="46"/>
      <c r="L58" s="41"/>
      <c r="M58" s="41"/>
    </row>
    <row r="59" spans="2:13" s="405" customFormat="1" ht="12.75" x14ac:dyDescent="0.2">
      <c r="B59" s="666"/>
      <c r="C59" s="671"/>
      <c r="D59" s="670"/>
      <c r="E59" s="26"/>
      <c r="F59" s="668"/>
      <c r="G59" s="25" t="str">
        <f t="shared" si="2"/>
        <v/>
      </c>
      <c r="H59" s="404"/>
      <c r="J59" s="406"/>
      <c r="K59" s="408"/>
      <c r="L59" s="406"/>
      <c r="M59" s="406"/>
    </row>
    <row r="60" spans="2:13" ht="25.5" hidden="1" x14ac:dyDescent="0.2">
      <c r="B60" s="678" t="s">
        <v>709</v>
      </c>
      <c r="C60" s="646" t="s">
        <v>710</v>
      </c>
      <c r="D60" s="670"/>
      <c r="E60" s="26"/>
      <c r="F60" s="668"/>
      <c r="G60" s="25" t="str">
        <f t="shared" si="2"/>
        <v/>
      </c>
      <c r="H60" s="103"/>
      <c r="J60" s="41"/>
      <c r="K60" s="46"/>
      <c r="L60" s="41"/>
      <c r="M60" s="41"/>
    </row>
    <row r="61" spans="2:13" s="405" customFormat="1" ht="12.75" hidden="1" x14ac:dyDescent="0.2">
      <c r="B61" s="678"/>
      <c r="C61" s="646"/>
      <c r="D61" s="670"/>
      <c r="E61" s="26"/>
      <c r="F61" s="668"/>
      <c r="G61" s="25" t="str">
        <f t="shared" si="2"/>
        <v/>
      </c>
      <c r="H61" s="404"/>
      <c r="J61" s="406"/>
      <c r="K61" s="408"/>
      <c r="L61" s="406"/>
      <c r="M61" s="406"/>
    </row>
    <row r="62" spans="2:13" ht="12.75" hidden="1" x14ac:dyDescent="0.2">
      <c r="B62" s="678"/>
      <c r="C62" s="671" t="s">
        <v>705</v>
      </c>
      <c r="D62" s="672" t="s">
        <v>22</v>
      </c>
      <c r="E62" s="23">
        <v>0</v>
      </c>
      <c r="F62" s="668"/>
      <c r="G62" s="25">
        <f t="shared" si="2"/>
        <v>0</v>
      </c>
      <c r="H62" s="103"/>
      <c r="J62" s="41"/>
      <c r="K62" s="46"/>
      <c r="L62" s="41"/>
      <c r="M62" s="41"/>
    </row>
    <row r="63" spans="2:13" s="405" customFormat="1" ht="12.75" hidden="1" x14ac:dyDescent="0.2">
      <c r="B63" s="678"/>
      <c r="C63" s="671"/>
      <c r="D63" s="672"/>
      <c r="E63" s="23"/>
      <c r="F63" s="668"/>
      <c r="G63" s="25" t="str">
        <f t="shared" si="2"/>
        <v/>
      </c>
      <c r="H63" s="404"/>
      <c r="J63" s="406"/>
      <c r="K63" s="408"/>
      <c r="L63" s="406"/>
      <c r="M63" s="406"/>
    </row>
    <row r="64" spans="2:13" ht="12.75" hidden="1" x14ac:dyDescent="0.2">
      <c r="B64" s="678"/>
      <c r="C64" s="671" t="s">
        <v>706</v>
      </c>
      <c r="D64" s="672" t="s">
        <v>22</v>
      </c>
      <c r="E64" s="23">
        <v>0</v>
      </c>
      <c r="F64" s="668"/>
      <c r="G64" s="25">
        <f t="shared" si="2"/>
        <v>0</v>
      </c>
      <c r="H64" s="103"/>
      <c r="J64" s="41"/>
      <c r="K64" s="46"/>
      <c r="L64" s="41"/>
      <c r="M64" s="41"/>
    </row>
    <row r="65" spans="2:13" s="405" customFormat="1" ht="12.75" hidden="1" x14ac:dyDescent="0.2">
      <c r="B65" s="673"/>
      <c r="C65" s="646"/>
      <c r="D65" s="667"/>
      <c r="E65" s="26"/>
      <c r="F65" s="668"/>
      <c r="G65" s="25" t="str">
        <f t="shared" si="2"/>
        <v/>
      </c>
      <c r="H65" s="404"/>
      <c r="J65" s="406"/>
      <c r="K65" s="408"/>
      <c r="L65" s="406"/>
      <c r="M65" s="406"/>
    </row>
    <row r="66" spans="2:13" ht="25.5" hidden="1" x14ac:dyDescent="0.2">
      <c r="B66" s="666" t="s">
        <v>711</v>
      </c>
      <c r="C66" s="646" t="s">
        <v>712</v>
      </c>
      <c r="D66" s="670"/>
      <c r="E66" s="26"/>
      <c r="F66" s="668"/>
      <c r="G66" s="25" t="str">
        <f t="shared" si="2"/>
        <v/>
      </c>
      <c r="H66" s="103"/>
      <c r="J66" s="41"/>
      <c r="K66" s="46"/>
      <c r="L66" s="41"/>
      <c r="M66" s="41"/>
    </row>
    <row r="67" spans="2:13" s="405" customFormat="1" ht="12.75" hidden="1" x14ac:dyDescent="0.2">
      <c r="B67" s="666"/>
      <c r="C67" s="646"/>
      <c r="D67" s="670"/>
      <c r="E67" s="26"/>
      <c r="F67" s="668"/>
      <c r="G67" s="25" t="str">
        <f t="shared" si="2"/>
        <v/>
      </c>
      <c r="H67" s="404"/>
      <c r="J67" s="406"/>
      <c r="K67" s="408"/>
      <c r="L67" s="406"/>
      <c r="M67" s="406"/>
    </row>
    <row r="68" spans="2:13" ht="12.75" hidden="1" x14ac:dyDescent="0.2">
      <c r="B68" s="666"/>
      <c r="C68" s="671" t="s">
        <v>707</v>
      </c>
      <c r="D68" s="672" t="s">
        <v>22</v>
      </c>
      <c r="E68" s="26">
        <v>0</v>
      </c>
      <c r="F68" s="668"/>
      <c r="G68" s="25">
        <f t="shared" si="2"/>
        <v>0</v>
      </c>
      <c r="H68" s="103"/>
      <c r="J68" s="41"/>
      <c r="K68" s="46"/>
      <c r="L68" s="41"/>
      <c r="M68" s="41"/>
    </row>
    <row r="69" spans="2:13" ht="12.75" x14ac:dyDescent="0.2">
      <c r="B69" s="666" t="s">
        <v>288</v>
      </c>
      <c r="C69" s="646" t="s">
        <v>287</v>
      </c>
      <c r="D69" s="670"/>
      <c r="E69" s="667"/>
      <c r="F69" s="668"/>
      <c r="G69" s="25" t="str">
        <f t="shared" si="2"/>
        <v/>
      </c>
      <c r="H69" s="103"/>
      <c r="J69" s="41"/>
      <c r="K69" s="46" t="str">
        <f t="shared" si="0"/>
        <v/>
      </c>
      <c r="L69" s="41"/>
      <c r="M69" s="41"/>
    </row>
    <row r="70" spans="2:13" s="405" customFormat="1" ht="12.75" x14ac:dyDescent="0.2">
      <c r="B70" s="673"/>
      <c r="C70" s="646"/>
      <c r="D70" s="667"/>
      <c r="E70" s="667"/>
      <c r="F70" s="668"/>
      <c r="G70" s="25" t="str">
        <f t="shared" si="2"/>
        <v/>
      </c>
      <c r="H70" s="404"/>
      <c r="J70" s="406"/>
      <c r="K70" s="408" t="str">
        <f t="shared" si="0"/>
        <v/>
      </c>
      <c r="L70" s="406"/>
      <c r="M70" s="406"/>
    </row>
    <row r="71" spans="2:13" ht="12.75" x14ac:dyDescent="0.2">
      <c r="B71" s="666" t="s">
        <v>286</v>
      </c>
      <c r="C71" s="646" t="s">
        <v>285</v>
      </c>
      <c r="D71" s="679" t="s">
        <v>177</v>
      </c>
      <c r="E71" s="667">
        <v>30</v>
      </c>
      <c r="F71" s="668"/>
      <c r="G71" s="25">
        <f t="shared" si="2"/>
        <v>0</v>
      </c>
      <c r="H71" s="103"/>
      <c r="J71" s="41"/>
      <c r="K71" s="46" t="str">
        <f t="shared" si="0"/>
        <v/>
      </c>
      <c r="L71" s="41"/>
      <c r="M71" s="41"/>
    </row>
    <row r="72" spans="2:13" s="405" customFormat="1" ht="12.75" x14ac:dyDescent="0.2">
      <c r="B72" s="673"/>
      <c r="C72" s="646"/>
      <c r="D72" s="667"/>
      <c r="E72" s="667"/>
      <c r="F72" s="668"/>
      <c r="G72" s="25" t="str">
        <f t="shared" si="2"/>
        <v/>
      </c>
      <c r="H72" s="404"/>
      <c r="J72" s="406"/>
      <c r="K72" s="408" t="str">
        <f t="shared" si="0"/>
        <v/>
      </c>
      <c r="L72" s="406"/>
      <c r="M72" s="406"/>
    </row>
    <row r="73" spans="2:13" ht="12.75" x14ac:dyDescent="0.2">
      <c r="B73" s="666" t="s">
        <v>284</v>
      </c>
      <c r="C73" s="646" t="s">
        <v>283</v>
      </c>
      <c r="D73" s="679" t="s">
        <v>177</v>
      </c>
      <c r="E73" s="667">
        <v>30</v>
      </c>
      <c r="F73" s="668"/>
      <c r="G73" s="25">
        <f t="shared" si="2"/>
        <v>0</v>
      </c>
      <c r="H73" s="103"/>
      <c r="J73" s="41"/>
      <c r="K73" s="46" t="str">
        <f t="shared" si="0"/>
        <v/>
      </c>
      <c r="L73" s="41"/>
      <c r="M73" s="41"/>
    </row>
    <row r="74" spans="2:13" s="405" customFormat="1" ht="12.75" x14ac:dyDescent="0.2">
      <c r="B74" s="673"/>
      <c r="C74" s="646"/>
      <c r="D74" s="667"/>
      <c r="E74" s="667"/>
      <c r="F74" s="668"/>
      <c r="G74" s="25" t="str">
        <f t="shared" si="2"/>
        <v/>
      </c>
      <c r="H74" s="404"/>
      <c r="J74" s="406"/>
      <c r="K74" s="408" t="str">
        <f t="shared" si="0"/>
        <v/>
      </c>
      <c r="L74" s="406"/>
      <c r="M74" s="406"/>
    </row>
    <row r="75" spans="2:13" ht="12.75" hidden="1" x14ac:dyDescent="0.2">
      <c r="B75" s="666" t="s">
        <v>282</v>
      </c>
      <c r="C75" s="646" t="s">
        <v>281</v>
      </c>
      <c r="D75" s="679" t="s">
        <v>177</v>
      </c>
      <c r="E75" s="677">
        <v>30</v>
      </c>
      <c r="F75" s="668"/>
      <c r="G75" s="25">
        <f t="shared" si="2"/>
        <v>0</v>
      </c>
      <c r="H75" s="104"/>
      <c r="J75" s="41"/>
      <c r="K75" s="46" t="str">
        <f t="shared" si="0"/>
        <v/>
      </c>
      <c r="L75" s="41"/>
      <c r="M75" s="41"/>
    </row>
    <row r="76" spans="2:13" s="405" customFormat="1" ht="12.75" x14ac:dyDescent="0.2">
      <c r="B76" s="673"/>
      <c r="C76" s="646"/>
      <c r="D76" s="667"/>
      <c r="E76" s="667"/>
      <c r="F76" s="668"/>
      <c r="G76" s="25" t="str">
        <f t="shared" si="2"/>
        <v/>
      </c>
      <c r="H76" s="404"/>
      <c r="J76" s="406"/>
      <c r="K76" s="408" t="str">
        <f t="shared" si="0"/>
        <v/>
      </c>
      <c r="L76" s="406"/>
      <c r="M76" s="406"/>
    </row>
    <row r="77" spans="2:13" ht="12.75" x14ac:dyDescent="0.2">
      <c r="B77" s="666" t="s">
        <v>280</v>
      </c>
      <c r="C77" s="646" t="s">
        <v>279</v>
      </c>
      <c r="D77" s="670" t="s">
        <v>24</v>
      </c>
      <c r="E77" s="677">
        <v>4000</v>
      </c>
      <c r="F77" s="668"/>
      <c r="G77" s="25">
        <f t="shared" si="2"/>
        <v>0</v>
      </c>
      <c r="H77" s="105"/>
      <c r="J77" s="41"/>
      <c r="K77" s="46" t="str">
        <f t="shared" si="0"/>
        <v/>
      </c>
      <c r="L77" s="41"/>
      <c r="M77" s="41"/>
    </row>
    <row r="78" spans="2:13" s="405" customFormat="1" ht="12.75" x14ac:dyDescent="0.2">
      <c r="B78" s="673"/>
      <c r="C78" s="680"/>
      <c r="D78" s="677"/>
      <c r="E78" s="677"/>
      <c r="F78" s="668"/>
      <c r="G78" s="25" t="str">
        <f t="shared" si="2"/>
        <v/>
      </c>
      <c r="H78" s="412"/>
      <c r="J78" s="406"/>
      <c r="K78" s="408" t="str">
        <f t="shared" si="0"/>
        <v/>
      </c>
      <c r="L78" s="406"/>
      <c r="M78" s="406"/>
    </row>
    <row r="79" spans="2:13" s="113" customFormat="1" ht="12.75" x14ac:dyDescent="0.2">
      <c r="B79" s="67" t="s">
        <v>278</v>
      </c>
      <c r="C79" s="456" t="s">
        <v>277</v>
      </c>
      <c r="D79" s="457"/>
      <c r="E79" s="450"/>
      <c r="F79" s="431"/>
      <c r="G79" s="432" t="str">
        <f t="shared" si="2"/>
        <v/>
      </c>
      <c r="J79" s="447"/>
      <c r="K79" s="448" t="str">
        <f t="shared" si="0"/>
        <v/>
      </c>
      <c r="L79" s="447"/>
      <c r="M79" s="447"/>
    </row>
    <row r="80" spans="2:13" s="405" customFormat="1" ht="12.75" x14ac:dyDescent="0.2">
      <c r="B80" s="673"/>
      <c r="C80" s="646"/>
      <c r="D80" s="667"/>
      <c r="E80" s="667"/>
      <c r="F80" s="668"/>
      <c r="G80" s="25" t="str">
        <f t="shared" si="2"/>
        <v/>
      </c>
      <c r="H80" s="404"/>
      <c r="J80" s="406"/>
      <c r="K80" s="408" t="str">
        <f t="shared" si="0"/>
        <v/>
      </c>
      <c r="L80" s="406"/>
      <c r="M80" s="406"/>
    </row>
    <row r="81" spans="2:13" ht="12.75" x14ac:dyDescent="0.2">
      <c r="B81" s="678" t="s">
        <v>276</v>
      </c>
      <c r="C81" s="646" t="s">
        <v>421</v>
      </c>
      <c r="D81" s="670"/>
      <c r="E81" s="667"/>
      <c r="F81" s="668"/>
      <c r="G81" s="25"/>
      <c r="H81" s="103"/>
      <c r="J81" s="41"/>
      <c r="K81" s="46" t="str">
        <f t="shared" ref="K81:K92" si="3">IF(J81="","",J81*E81)</f>
        <v/>
      </c>
      <c r="L81" s="41"/>
      <c r="M81" s="41"/>
    </row>
    <row r="82" spans="2:13" s="405" customFormat="1" ht="6.95" customHeight="1" x14ac:dyDescent="0.2">
      <c r="B82" s="678"/>
      <c r="C82" s="646"/>
      <c r="D82" s="670"/>
      <c r="E82" s="667"/>
      <c r="F82" s="668"/>
      <c r="G82" s="25" t="str">
        <f t="shared" si="2"/>
        <v/>
      </c>
      <c r="H82" s="404"/>
      <c r="J82" s="406"/>
      <c r="K82" s="408" t="str">
        <f t="shared" si="3"/>
        <v/>
      </c>
      <c r="L82" s="406"/>
      <c r="M82" s="406"/>
    </row>
    <row r="83" spans="2:13" ht="38.25" x14ac:dyDescent="0.2">
      <c r="B83" s="678"/>
      <c r="C83" s="646" t="s">
        <v>420</v>
      </c>
      <c r="D83" s="670" t="s">
        <v>33</v>
      </c>
      <c r="E83" s="677">
        <v>12000</v>
      </c>
      <c r="F83" s="668"/>
      <c r="G83" s="17">
        <f>IF(D83="","",E83*F83)</f>
        <v>0</v>
      </c>
      <c r="H83" s="103"/>
      <c r="J83" s="338">
        <v>9</v>
      </c>
      <c r="K83" s="46">
        <f t="shared" si="3"/>
        <v>108000</v>
      </c>
      <c r="L83" s="41"/>
      <c r="M83" s="41"/>
    </row>
    <row r="84" spans="2:13" s="405" customFormat="1" ht="5.45" customHeight="1" x14ac:dyDescent="0.2">
      <c r="B84" s="678"/>
      <c r="C84" s="646"/>
      <c r="D84" s="670"/>
      <c r="E84" s="667"/>
      <c r="F84" s="668"/>
      <c r="G84" s="25" t="str">
        <f t="shared" ref="G84:G88" si="4">IF(D84="","",E84*F84)</f>
        <v/>
      </c>
      <c r="H84" s="404"/>
      <c r="J84" s="406"/>
      <c r="K84" s="408" t="str">
        <f t="shared" si="3"/>
        <v/>
      </c>
      <c r="L84" s="406"/>
      <c r="M84" s="406"/>
    </row>
    <row r="85" spans="2:13" ht="25.5" x14ac:dyDescent="0.2">
      <c r="B85" s="666" t="s">
        <v>275</v>
      </c>
      <c r="C85" s="646" t="s">
        <v>274</v>
      </c>
      <c r="D85" s="670" t="s">
        <v>22</v>
      </c>
      <c r="E85" s="681">
        <v>0</v>
      </c>
      <c r="F85" s="668"/>
      <c r="G85" s="25">
        <f t="shared" si="4"/>
        <v>0</v>
      </c>
      <c r="H85" s="103"/>
      <c r="J85" s="346">
        <f>F85*10%</f>
        <v>0</v>
      </c>
      <c r="K85" s="46">
        <f t="shared" si="3"/>
        <v>0</v>
      </c>
      <c r="L85" s="41"/>
      <c r="M85" s="41"/>
    </row>
    <row r="86" spans="2:13" ht="12.75" x14ac:dyDescent="0.2">
      <c r="B86" s="666"/>
      <c r="C86" s="646"/>
      <c r="D86" s="670"/>
      <c r="E86" s="681"/>
      <c r="F86" s="668"/>
      <c r="G86" s="25" t="str">
        <f t="shared" si="4"/>
        <v/>
      </c>
      <c r="H86" s="103"/>
      <c r="J86" s="346"/>
      <c r="K86" s="46"/>
      <c r="L86" s="41"/>
      <c r="M86" s="41"/>
    </row>
    <row r="87" spans="2:13" ht="12.75" x14ac:dyDescent="0.2">
      <c r="B87" s="666" t="s">
        <v>1049</v>
      </c>
      <c r="C87" s="646" t="s">
        <v>1050</v>
      </c>
      <c r="D87" s="670" t="s">
        <v>33</v>
      </c>
      <c r="E87" s="681">
        <v>200</v>
      </c>
      <c r="F87" s="668"/>
      <c r="G87" s="25">
        <f t="shared" si="4"/>
        <v>0</v>
      </c>
      <c r="H87" s="103"/>
      <c r="J87" s="346"/>
      <c r="K87" s="46"/>
      <c r="L87" s="41"/>
      <c r="M87" s="41"/>
    </row>
    <row r="88" spans="2:13" ht="12.75" x14ac:dyDescent="0.2">
      <c r="B88" s="666"/>
      <c r="C88" s="646"/>
      <c r="D88" s="670"/>
      <c r="E88" s="681"/>
      <c r="F88" s="668"/>
      <c r="G88" s="25" t="str">
        <f t="shared" si="4"/>
        <v/>
      </c>
      <c r="H88" s="103"/>
      <c r="J88" s="346"/>
      <c r="K88" s="46"/>
      <c r="L88" s="41"/>
      <c r="M88" s="41"/>
    </row>
    <row r="89" spans="2:13" ht="12.75" x14ac:dyDescent="0.2">
      <c r="B89" s="666"/>
      <c r="C89" s="646"/>
      <c r="D89" s="670"/>
      <c r="E89" s="681"/>
      <c r="F89" s="668"/>
      <c r="G89" s="25"/>
      <c r="H89" s="103"/>
      <c r="J89" s="346"/>
      <c r="K89" s="46"/>
      <c r="L89" s="41"/>
      <c r="M89" s="41"/>
    </row>
    <row r="90" spans="2:13" ht="12.75" x14ac:dyDescent="0.2">
      <c r="B90" s="666"/>
      <c r="C90" s="646"/>
      <c r="D90" s="670"/>
      <c r="E90" s="681"/>
      <c r="F90" s="668"/>
      <c r="G90" s="25"/>
      <c r="H90" s="103"/>
      <c r="J90" s="346"/>
      <c r="K90" s="46"/>
      <c r="L90" s="41"/>
      <c r="M90" s="41"/>
    </row>
    <row r="91" spans="2:13" ht="12.75" x14ac:dyDescent="0.2">
      <c r="B91" s="666"/>
      <c r="C91" s="646"/>
      <c r="D91" s="670"/>
      <c r="E91" s="681"/>
      <c r="F91" s="668"/>
      <c r="G91" s="25"/>
      <c r="H91" s="103"/>
      <c r="J91" s="346"/>
      <c r="K91" s="46"/>
      <c r="L91" s="41"/>
      <c r="M91" s="41"/>
    </row>
    <row r="92" spans="2:13" ht="6.95" customHeight="1" x14ac:dyDescent="0.2">
      <c r="B92" s="673"/>
      <c r="C92" s="646"/>
      <c r="D92" s="667"/>
      <c r="E92" s="667"/>
      <c r="F92" s="668"/>
      <c r="G92" s="25" t="str">
        <f>IF(D92="","",E92*F92)</f>
        <v/>
      </c>
      <c r="H92" s="103"/>
      <c r="J92" s="41"/>
      <c r="K92" s="46" t="str">
        <f t="shared" si="3"/>
        <v/>
      </c>
      <c r="L92" s="41"/>
      <c r="M92" s="41"/>
    </row>
    <row r="93" spans="2:13" s="30" customFormat="1" ht="19.5" customHeight="1" x14ac:dyDescent="0.2">
      <c r="B93" s="121" t="str">
        <f>$B$11</f>
        <v>C11.7</v>
      </c>
      <c r="C93" s="32" t="s">
        <v>700</v>
      </c>
      <c r="D93" s="33"/>
      <c r="E93" s="34"/>
      <c r="F93" s="33"/>
      <c r="G93" s="352">
        <f>SUM(G10:G92)</f>
        <v>0</v>
      </c>
      <c r="H93" s="36"/>
      <c r="K93" s="35">
        <f>SUM(K10:K92)</f>
        <v>108000</v>
      </c>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62" firstPageNumber="151"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colBreaks count="1" manualBreakCount="1">
    <brk id="8" max="1048575" man="1"/>
  </colBreaks>
  <extLst>
    <ext xmlns:x14="http://schemas.microsoft.com/office/spreadsheetml/2009/9/main" uri="{78C0D931-6437-407d-A8EE-F0AAD7539E65}">
      <x14:conditionalFormattings>
        <x14:conditionalFormatting xmlns:xm="http://schemas.microsoft.com/office/excel/2006/main">
          <x14:cfRule type="expression" priority="4" id="{47026EB1-7D8A-43D3-9203-755B3BFBBF16}">
            <xm:f>AND(Information!$C$8=FALSE,$D10&lt;&gt;"P C Sum",$D10&lt;&gt;"PC Sum",$D10&lt;&gt;"P Sum",$D10&lt;&gt;"Prov Sum")</xm:f>
            <x14:dxf>
              <font>
                <strike val="0"/>
                <color theme="0"/>
              </font>
              <numFmt numFmtId="4" formatCode="#,##0.00"/>
            </x14:dxf>
          </x14:cfRule>
          <xm:sqref>F10:G92</xm:sqref>
        </x14:conditionalFormatting>
        <x14:conditionalFormatting xmlns:xm="http://schemas.microsoft.com/office/excel/2006/main">
          <x14:cfRule type="expression" priority="3" id="{50655E6A-D47B-4412-AFAF-FA490E50A038}">
            <xm:f>AND(Information!$C$8=FALSE,$D93&lt;&gt;"P C Sum",$D93&lt;&gt;"PC Sum",$D93&lt;&gt;"P Sum",$D93&lt;&gt;"Prov Sum")</xm:f>
            <x14:dxf>
              <font>
                <strike val="0"/>
                <color theme="0"/>
              </font>
              <numFmt numFmtId="4" formatCode="#,##0.00"/>
            </x14:dxf>
          </x14:cfRule>
          <xm:sqref>G93</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6961-954C-4769-8C46-880ADACE49B3}">
  <sheetPr>
    <tabColor rgb="FF00B050"/>
  </sheetPr>
  <dimension ref="B1:M73"/>
  <sheetViews>
    <sheetView view="pageBreakPreview" topLeftCell="A13" zoomScaleNormal="125" zoomScaleSheetLayoutView="100" zoomScalePageLayoutView="125" workbookViewId="0">
      <selection activeCell="F15" sqref="F15"/>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9.7109375" style="1" bestFit="1" customWidth="1"/>
    <col min="12" max="16384" width="8.85546875" style="1"/>
  </cols>
  <sheetData>
    <row r="1" spans="2:13" x14ac:dyDescent="0.2">
      <c r="G1" s="166">
        <f>MAX(G9:G500)</f>
        <v>0</v>
      </c>
    </row>
    <row r="2" spans="2:13" x14ac:dyDescent="0.2">
      <c r="B2" s="2" t="str">
        <f>Client1</f>
        <v>Province of KwaZulu-Natal</v>
      </c>
      <c r="E2" s="703" t="str">
        <f>"Contract No. "&amp;ContractNo</f>
        <v>Contract No. ZNB02287/00000/00/MET/INF/24/T</v>
      </c>
      <c r="F2" s="703"/>
      <c r="G2" s="703"/>
      <c r="J2" s="389"/>
      <c r="K2" s="389">
        <f>MAX(K3:K245)</f>
        <v>0</v>
      </c>
      <c r="L2" s="389"/>
      <c r="M2" s="85"/>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299</v>
      </c>
      <c r="C5" s="699"/>
      <c r="D5" s="699"/>
      <c r="E5" s="699"/>
      <c r="F5" s="699"/>
      <c r="G5" s="715" t="str">
        <f>"CHAPTER "&amp;B11</f>
        <v>CHAPTER C11.9</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716"/>
      <c r="H6" s="8"/>
    </row>
    <row r="7" spans="2:13" ht="12.75" customHeight="1" x14ac:dyDescent="0.2">
      <c r="B7" s="691"/>
      <c r="C7" s="692"/>
      <c r="D7" s="692"/>
      <c r="E7" s="692"/>
      <c r="F7" s="692"/>
      <c r="G7" s="716"/>
      <c r="H7" s="8"/>
    </row>
    <row r="8" spans="2:13" s="9" customFormat="1" ht="7.5" customHeight="1" x14ac:dyDescent="0.2">
      <c r="B8" s="693"/>
      <c r="C8" s="694"/>
      <c r="D8" s="694"/>
      <c r="E8" s="694"/>
      <c r="F8" s="694"/>
      <c r="G8" s="71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13"/>
      <c r="C10" s="14"/>
      <c r="D10" s="15"/>
      <c r="E10" s="15"/>
      <c r="F10" s="16"/>
      <c r="G10" s="25" t="str">
        <f t="shared" ref="G10:G56" si="0">IF(D10="","",E10*F10)</f>
        <v/>
      </c>
      <c r="H10" s="18"/>
      <c r="J10" s="16"/>
      <c r="K10" s="16"/>
      <c r="L10" s="16"/>
      <c r="M10" s="16"/>
    </row>
    <row r="11" spans="2:13" ht="25.5" x14ac:dyDescent="0.2">
      <c r="B11" s="67" t="s">
        <v>303</v>
      </c>
      <c r="C11" s="20" t="s">
        <v>302</v>
      </c>
      <c r="D11" s="15"/>
      <c r="E11" s="15"/>
      <c r="F11" s="16"/>
      <c r="G11" s="25" t="str">
        <f t="shared" si="0"/>
        <v/>
      </c>
      <c r="H11" s="18"/>
      <c r="J11" s="41"/>
      <c r="K11" s="41"/>
      <c r="L11" s="41"/>
      <c r="M11" s="41"/>
    </row>
    <row r="12" spans="2:13" x14ac:dyDescent="0.2">
      <c r="B12" s="51"/>
      <c r="C12" s="14"/>
      <c r="D12" s="15"/>
      <c r="E12" s="15"/>
      <c r="F12" s="16"/>
      <c r="G12" s="25" t="str">
        <f t="shared" si="0"/>
        <v/>
      </c>
      <c r="H12" s="18"/>
      <c r="J12" s="41"/>
      <c r="K12" s="41"/>
      <c r="L12" s="41"/>
      <c r="M12" s="41"/>
    </row>
    <row r="13" spans="2:13" x14ac:dyDescent="0.2">
      <c r="B13" s="59" t="s">
        <v>301</v>
      </c>
      <c r="C13" s="14" t="s">
        <v>300</v>
      </c>
      <c r="D13" s="15"/>
      <c r="E13" s="15"/>
      <c r="F13" s="16"/>
      <c r="G13" s="25" t="str">
        <f t="shared" si="0"/>
        <v/>
      </c>
      <c r="H13" s="18"/>
      <c r="J13" s="24"/>
      <c r="K13" s="46" t="str">
        <f t="shared" ref="K13:K46" si="1">IF(J13="","",J13*E13)</f>
        <v/>
      </c>
      <c r="L13" s="24"/>
      <c r="M13" s="24"/>
    </row>
    <row r="14" spans="2:13" x14ac:dyDescent="0.2">
      <c r="B14" s="59"/>
      <c r="C14" s="14"/>
      <c r="D14" s="15"/>
      <c r="E14" s="26"/>
      <c r="F14" s="16"/>
      <c r="G14" s="25" t="str">
        <f t="shared" si="0"/>
        <v/>
      </c>
      <c r="H14" s="18"/>
      <c r="J14" s="41"/>
      <c r="K14" s="46" t="str">
        <f t="shared" si="1"/>
        <v/>
      </c>
      <c r="L14" s="41"/>
      <c r="M14" s="41"/>
    </row>
    <row r="15" spans="2:13" x14ac:dyDescent="0.2">
      <c r="B15" s="51" t="s">
        <v>1051</v>
      </c>
      <c r="C15" s="84" t="s">
        <v>1155</v>
      </c>
      <c r="D15" s="22" t="s">
        <v>22</v>
      </c>
      <c r="E15" s="161">
        <v>50.29</v>
      </c>
      <c r="F15" s="16"/>
      <c r="G15" s="25">
        <f t="shared" si="0"/>
        <v>0</v>
      </c>
      <c r="H15" s="18"/>
      <c r="J15" s="41">
        <f>F15*4%</f>
        <v>0</v>
      </c>
      <c r="K15" s="46">
        <f t="shared" si="1"/>
        <v>0</v>
      </c>
      <c r="L15" s="41"/>
      <c r="M15" s="41"/>
    </row>
    <row r="16" spans="2:13" x14ac:dyDescent="0.2">
      <c r="B16" s="59"/>
      <c r="C16" s="14"/>
      <c r="D16" s="15"/>
      <c r="E16" s="26"/>
      <c r="F16" s="16"/>
      <c r="G16" s="25"/>
      <c r="H16" s="60"/>
      <c r="J16" s="41"/>
      <c r="K16" s="46" t="str">
        <f t="shared" si="1"/>
        <v/>
      </c>
      <c r="L16" s="41"/>
      <c r="M16" s="41"/>
    </row>
    <row r="17" spans="2:13" x14ac:dyDescent="0.2">
      <c r="B17" s="51"/>
      <c r="C17" s="120"/>
      <c r="D17" s="22"/>
      <c r="E17" s="26"/>
      <c r="F17" s="16"/>
      <c r="G17" s="25"/>
      <c r="H17" s="63"/>
      <c r="J17" s="41"/>
      <c r="K17" s="46" t="str">
        <f t="shared" si="1"/>
        <v/>
      </c>
      <c r="L17" s="41"/>
      <c r="M17" s="41"/>
    </row>
    <row r="18" spans="2:13" x14ac:dyDescent="0.2">
      <c r="B18" s="59"/>
      <c r="C18" s="390"/>
      <c r="D18" s="61"/>
      <c r="E18" s="26"/>
      <c r="F18" s="16"/>
      <c r="G18" s="25"/>
      <c r="H18" s="63"/>
      <c r="J18" s="41"/>
      <c r="K18" s="46" t="str">
        <f t="shared" si="1"/>
        <v/>
      </c>
      <c r="L18" s="41"/>
      <c r="M18" s="41"/>
    </row>
    <row r="19" spans="2:13" x14ac:dyDescent="0.2">
      <c r="B19" s="51"/>
      <c r="C19" s="14"/>
      <c r="D19" s="22"/>
      <c r="E19" s="26"/>
      <c r="F19" s="16"/>
      <c r="G19" s="25"/>
      <c r="H19" s="63"/>
      <c r="J19" s="41"/>
      <c r="K19" s="46" t="str">
        <f t="shared" si="1"/>
        <v/>
      </c>
      <c r="L19" s="41"/>
      <c r="M19" s="41"/>
    </row>
    <row r="20" spans="2:13" x14ac:dyDescent="0.2">
      <c r="B20" s="59"/>
      <c r="C20" s="390"/>
      <c r="D20" s="61"/>
      <c r="E20" s="26"/>
      <c r="F20" s="16"/>
      <c r="G20" s="25"/>
      <c r="H20" s="63"/>
      <c r="J20" s="41"/>
      <c r="K20" s="46" t="str">
        <f t="shared" si="1"/>
        <v/>
      </c>
      <c r="L20" s="41"/>
      <c r="M20" s="41"/>
    </row>
    <row r="21" spans="2:13" x14ac:dyDescent="0.2">
      <c r="B21" s="51"/>
      <c r="C21" s="14"/>
      <c r="D21" s="22"/>
      <c r="E21" s="26"/>
      <c r="F21" s="16"/>
      <c r="G21" s="25"/>
      <c r="H21" s="63"/>
      <c r="J21" s="41"/>
      <c r="K21" s="46" t="str">
        <f t="shared" si="1"/>
        <v/>
      </c>
      <c r="L21" s="41"/>
      <c r="M21" s="41"/>
    </row>
    <row r="22" spans="2:13" x14ac:dyDescent="0.2">
      <c r="B22" s="51"/>
      <c r="C22" s="14"/>
      <c r="D22" s="22"/>
      <c r="E22" s="26"/>
      <c r="F22" s="16"/>
      <c r="G22" s="25"/>
      <c r="H22" s="63"/>
      <c r="J22" s="41"/>
      <c r="K22" s="46" t="str">
        <f t="shared" si="1"/>
        <v/>
      </c>
      <c r="L22" s="41"/>
      <c r="M22" s="41"/>
    </row>
    <row r="23" spans="2:13" x14ac:dyDescent="0.2">
      <c r="B23" s="51"/>
      <c r="C23" s="14"/>
      <c r="D23" s="22"/>
      <c r="E23" s="26"/>
      <c r="F23" s="16"/>
      <c r="G23" s="25" t="str">
        <f t="shared" si="0"/>
        <v/>
      </c>
      <c r="H23" s="63"/>
      <c r="J23" s="41"/>
      <c r="K23" s="46" t="str">
        <f t="shared" si="1"/>
        <v/>
      </c>
      <c r="L23" s="41"/>
      <c r="M23" s="41"/>
    </row>
    <row r="24" spans="2:13" x14ac:dyDescent="0.2">
      <c r="B24" s="51"/>
      <c r="C24" s="14"/>
      <c r="D24" s="22"/>
      <c r="E24" s="26"/>
      <c r="F24" s="16"/>
      <c r="G24" s="25" t="str">
        <f t="shared" si="0"/>
        <v/>
      </c>
      <c r="H24" s="63"/>
      <c r="J24" s="41"/>
      <c r="K24" s="46" t="str">
        <f t="shared" si="1"/>
        <v/>
      </c>
      <c r="L24" s="41"/>
      <c r="M24" s="41"/>
    </row>
    <row r="25" spans="2:13" x14ac:dyDescent="0.2">
      <c r="B25" s="51"/>
      <c r="C25" s="14"/>
      <c r="D25" s="22"/>
      <c r="E25" s="26"/>
      <c r="F25" s="16"/>
      <c r="G25" s="25" t="str">
        <f t="shared" si="0"/>
        <v/>
      </c>
      <c r="H25" s="63"/>
      <c r="J25" s="41">
        <f>F25*3%</f>
        <v>0</v>
      </c>
      <c r="K25" s="46">
        <f t="shared" si="1"/>
        <v>0</v>
      </c>
      <c r="L25" s="41"/>
      <c r="M25" s="41"/>
    </row>
    <row r="26" spans="2:13" x14ac:dyDescent="0.2">
      <c r="B26" s="51"/>
      <c r="C26" s="14"/>
      <c r="D26" s="22"/>
      <c r="E26" s="26"/>
      <c r="F26" s="16"/>
      <c r="G26" s="25" t="str">
        <f t="shared" si="0"/>
        <v/>
      </c>
      <c r="H26" s="63"/>
      <c r="J26" s="41"/>
      <c r="K26" s="46" t="str">
        <f t="shared" si="1"/>
        <v/>
      </c>
      <c r="L26" s="41"/>
      <c r="M26" s="41"/>
    </row>
    <row r="27" spans="2:13" x14ac:dyDescent="0.2">
      <c r="B27" s="51"/>
      <c r="C27" s="14"/>
      <c r="D27" s="22"/>
      <c r="E27" s="26"/>
      <c r="F27" s="16"/>
      <c r="G27" s="25" t="str">
        <f t="shared" si="0"/>
        <v/>
      </c>
      <c r="H27" s="63"/>
      <c r="J27" s="41"/>
      <c r="K27" s="46" t="str">
        <f t="shared" si="1"/>
        <v/>
      </c>
      <c r="L27" s="41"/>
      <c r="M27" s="41"/>
    </row>
    <row r="28" spans="2:13" x14ac:dyDescent="0.2">
      <c r="B28" s="51"/>
      <c r="C28" s="14"/>
      <c r="D28" s="22"/>
      <c r="E28" s="26"/>
      <c r="F28" s="16"/>
      <c r="G28" s="25" t="str">
        <f t="shared" si="0"/>
        <v/>
      </c>
      <c r="H28" s="63"/>
      <c r="J28" s="41"/>
      <c r="K28" s="46" t="str">
        <f t="shared" si="1"/>
        <v/>
      </c>
      <c r="L28" s="41"/>
      <c r="M28" s="41"/>
    </row>
    <row r="29" spans="2:13" x14ac:dyDescent="0.2">
      <c r="B29" s="51"/>
      <c r="C29" s="14"/>
      <c r="D29" s="22"/>
      <c r="E29" s="26"/>
      <c r="F29" s="16"/>
      <c r="G29" s="25" t="str">
        <f t="shared" si="0"/>
        <v/>
      </c>
      <c r="H29" s="63"/>
      <c r="J29" s="41"/>
      <c r="K29" s="46" t="str">
        <f t="shared" si="1"/>
        <v/>
      </c>
      <c r="L29" s="41"/>
      <c r="M29" s="41"/>
    </row>
    <row r="30" spans="2:13" x14ac:dyDescent="0.2">
      <c r="B30" s="51"/>
      <c r="C30" s="14"/>
      <c r="D30" s="22"/>
      <c r="E30" s="26"/>
      <c r="F30" s="16"/>
      <c r="G30" s="25" t="str">
        <f t="shared" si="0"/>
        <v/>
      </c>
      <c r="H30" s="63"/>
      <c r="J30" s="41"/>
      <c r="K30" s="46" t="str">
        <f t="shared" si="1"/>
        <v/>
      </c>
      <c r="L30" s="41"/>
      <c r="M30" s="41"/>
    </row>
    <row r="31" spans="2:13" x14ac:dyDescent="0.2">
      <c r="B31" s="51"/>
      <c r="C31" s="14"/>
      <c r="D31" s="22"/>
      <c r="E31" s="26"/>
      <c r="F31" s="16"/>
      <c r="G31" s="25" t="str">
        <f t="shared" si="0"/>
        <v/>
      </c>
      <c r="H31" s="63"/>
      <c r="J31" s="41">
        <f>F31*3%</f>
        <v>0</v>
      </c>
      <c r="K31" s="46">
        <f t="shared" si="1"/>
        <v>0</v>
      </c>
      <c r="L31" s="41"/>
      <c r="M31" s="41"/>
    </row>
    <row r="32" spans="2:13" x14ac:dyDescent="0.2">
      <c r="B32" s="51"/>
      <c r="C32" s="14"/>
      <c r="D32" s="22"/>
      <c r="E32" s="26"/>
      <c r="F32" s="16"/>
      <c r="G32" s="25" t="str">
        <f t="shared" si="0"/>
        <v/>
      </c>
      <c r="H32" s="63"/>
      <c r="J32" s="41"/>
      <c r="K32" s="46" t="str">
        <f t="shared" si="1"/>
        <v/>
      </c>
      <c r="L32" s="41"/>
      <c r="M32" s="41"/>
    </row>
    <row r="33" spans="2:13" x14ac:dyDescent="0.2">
      <c r="B33" s="51"/>
      <c r="C33" s="14"/>
      <c r="D33" s="22"/>
      <c r="E33" s="26"/>
      <c r="F33" s="16"/>
      <c r="G33" s="25" t="str">
        <f t="shared" si="0"/>
        <v/>
      </c>
      <c r="H33" s="63"/>
      <c r="J33" s="41">
        <f>F33*3%</f>
        <v>0</v>
      </c>
      <c r="K33" s="46">
        <f t="shared" si="1"/>
        <v>0</v>
      </c>
      <c r="L33" s="41"/>
      <c r="M33" s="41"/>
    </row>
    <row r="34" spans="2:13" x14ac:dyDescent="0.2">
      <c r="B34" s="51"/>
      <c r="C34" s="14"/>
      <c r="D34" s="22"/>
      <c r="E34" s="26"/>
      <c r="F34" s="16"/>
      <c r="G34" s="25" t="str">
        <f t="shared" si="0"/>
        <v/>
      </c>
      <c r="H34" s="63"/>
      <c r="J34" s="41"/>
      <c r="K34" s="46" t="str">
        <f t="shared" si="1"/>
        <v/>
      </c>
      <c r="L34" s="41"/>
      <c r="M34" s="41"/>
    </row>
    <row r="35" spans="2:13" x14ac:dyDescent="0.2">
      <c r="B35" s="51"/>
      <c r="C35" s="14"/>
      <c r="D35" s="22"/>
      <c r="E35" s="26"/>
      <c r="F35" s="16"/>
      <c r="G35" s="25" t="str">
        <f t="shared" si="0"/>
        <v/>
      </c>
      <c r="H35" s="63"/>
      <c r="J35" s="41"/>
      <c r="K35" s="46" t="str">
        <f t="shared" si="1"/>
        <v/>
      </c>
      <c r="L35" s="41"/>
      <c r="M35" s="41"/>
    </row>
    <row r="36" spans="2:13" x14ac:dyDescent="0.2">
      <c r="B36" s="51"/>
      <c r="C36" s="14"/>
      <c r="D36" s="22"/>
      <c r="E36" s="26"/>
      <c r="F36" s="16"/>
      <c r="G36" s="25" t="str">
        <f t="shared" si="0"/>
        <v/>
      </c>
      <c r="H36" s="63"/>
      <c r="J36" s="41"/>
      <c r="K36" s="46" t="str">
        <f t="shared" si="1"/>
        <v/>
      </c>
      <c r="L36" s="41"/>
      <c r="M36" s="41"/>
    </row>
    <row r="37" spans="2:13" x14ac:dyDescent="0.2">
      <c r="B37" s="51"/>
      <c r="C37" s="14"/>
      <c r="D37" s="22"/>
      <c r="E37" s="26"/>
      <c r="F37" s="16"/>
      <c r="G37" s="25" t="str">
        <f t="shared" si="0"/>
        <v/>
      </c>
      <c r="H37" s="63"/>
      <c r="J37" s="41"/>
      <c r="K37" s="46" t="str">
        <f t="shared" si="1"/>
        <v/>
      </c>
      <c r="L37" s="41"/>
      <c r="M37" s="41"/>
    </row>
    <row r="38" spans="2:13" x14ac:dyDescent="0.2">
      <c r="B38" s="51"/>
      <c r="C38" s="14"/>
      <c r="D38" s="22"/>
      <c r="E38" s="26"/>
      <c r="F38" s="16"/>
      <c r="G38" s="25" t="str">
        <f t="shared" si="0"/>
        <v/>
      </c>
      <c r="H38" s="63"/>
      <c r="J38" s="41"/>
      <c r="K38" s="46" t="str">
        <f t="shared" si="1"/>
        <v/>
      </c>
      <c r="L38" s="41"/>
      <c r="M38" s="41"/>
    </row>
    <row r="39" spans="2:13" x14ac:dyDescent="0.2">
      <c r="B39" s="51"/>
      <c r="C39" s="14"/>
      <c r="D39" s="22"/>
      <c r="E39" s="26"/>
      <c r="F39" s="16"/>
      <c r="G39" s="25" t="str">
        <f t="shared" si="0"/>
        <v/>
      </c>
      <c r="H39" s="63"/>
      <c r="J39" s="41"/>
      <c r="K39" s="46" t="str">
        <f t="shared" si="1"/>
        <v/>
      </c>
      <c r="L39" s="41"/>
      <c r="M39" s="41"/>
    </row>
    <row r="40" spans="2:13" x14ac:dyDescent="0.2">
      <c r="B40" s="51"/>
      <c r="C40" s="14"/>
      <c r="D40" s="22"/>
      <c r="E40" s="26"/>
      <c r="F40" s="16"/>
      <c r="G40" s="25" t="str">
        <f t="shared" si="0"/>
        <v/>
      </c>
      <c r="H40" s="63"/>
      <c r="J40" s="41"/>
      <c r="K40" s="46" t="str">
        <f t="shared" si="1"/>
        <v/>
      </c>
      <c r="L40" s="41"/>
      <c r="M40" s="41"/>
    </row>
    <row r="41" spans="2:13" x14ac:dyDescent="0.2">
      <c r="B41" s="51"/>
      <c r="C41" s="14"/>
      <c r="D41" s="22"/>
      <c r="E41" s="26"/>
      <c r="F41" s="16"/>
      <c r="G41" s="25" t="str">
        <f t="shared" si="0"/>
        <v/>
      </c>
      <c r="H41" s="63"/>
      <c r="J41" s="41"/>
      <c r="K41" s="46" t="str">
        <f t="shared" si="1"/>
        <v/>
      </c>
      <c r="L41" s="41"/>
      <c r="M41" s="41"/>
    </row>
    <row r="42" spans="2:13" x14ac:dyDescent="0.2">
      <c r="B42" s="51"/>
      <c r="C42" s="14"/>
      <c r="D42" s="22"/>
      <c r="E42" s="26"/>
      <c r="F42" s="16"/>
      <c r="G42" s="25" t="str">
        <f t="shared" si="0"/>
        <v/>
      </c>
      <c r="H42" s="63"/>
      <c r="J42" s="41"/>
      <c r="K42" s="46" t="str">
        <f t="shared" si="1"/>
        <v/>
      </c>
      <c r="L42" s="41"/>
      <c r="M42" s="41"/>
    </row>
    <row r="43" spans="2:13" x14ac:dyDescent="0.2">
      <c r="B43" s="51"/>
      <c r="C43" s="14"/>
      <c r="D43" s="22"/>
      <c r="E43" s="26"/>
      <c r="F43" s="16"/>
      <c r="G43" s="25" t="str">
        <f t="shared" si="0"/>
        <v/>
      </c>
      <c r="H43" s="63"/>
      <c r="J43" s="41"/>
      <c r="K43" s="46" t="str">
        <f t="shared" si="1"/>
        <v/>
      </c>
      <c r="L43" s="41"/>
      <c r="M43" s="41"/>
    </row>
    <row r="44" spans="2:13" x14ac:dyDescent="0.2">
      <c r="B44" s="51"/>
      <c r="C44" s="14"/>
      <c r="D44" s="22"/>
      <c r="E44" s="26"/>
      <c r="F44" s="16"/>
      <c r="G44" s="25" t="str">
        <f t="shared" si="0"/>
        <v/>
      </c>
      <c r="H44" s="63"/>
      <c r="J44" s="41"/>
      <c r="K44" s="46" t="str">
        <f t="shared" si="1"/>
        <v/>
      </c>
      <c r="L44" s="41"/>
      <c r="M44" s="41"/>
    </row>
    <row r="45" spans="2:13" x14ac:dyDescent="0.2">
      <c r="B45" s="51"/>
      <c r="C45" s="14"/>
      <c r="D45" s="22"/>
      <c r="E45" s="26"/>
      <c r="F45" s="16"/>
      <c r="G45" s="25" t="str">
        <f t="shared" si="0"/>
        <v/>
      </c>
      <c r="H45" s="63"/>
      <c r="J45" s="41"/>
      <c r="K45" s="46" t="str">
        <f t="shared" si="1"/>
        <v/>
      </c>
      <c r="L45" s="41"/>
      <c r="M45" s="41"/>
    </row>
    <row r="46" spans="2:13" x14ac:dyDescent="0.2">
      <c r="B46" s="51"/>
      <c r="C46" s="14"/>
      <c r="D46" s="22"/>
      <c r="E46" s="26"/>
      <c r="F46" s="16"/>
      <c r="G46" s="25" t="str">
        <f t="shared" si="0"/>
        <v/>
      </c>
      <c r="H46" s="63"/>
      <c r="J46" s="41"/>
      <c r="K46" s="46" t="str">
        <f t="shared" si="1"/>
        <v/>
      </c>
      <c r="L46" s="41"/>
      <c r="M46" s="41"/>
    </row>
    <row r="47" spans="2:13" x14ac:dyDescent="0.2">
      <c r="B47" s="51"/>
      <c r="C47" s="14"/>
      <c r="D47" s="22"/>
      <c r="E47" s="26"/>
      <c r="F47" s="16"/>
      <c r="G47" s="25" t="str">
        <f t="shared" si="0"/>
        <v/>
      </c>
      <c r="H47" s="63"/>
    </row>
    <row r="48" spans="2:13" x14ac:dyDescent="0.2">
      <c r="B48" s="51"/>
      <c r="C48" s="14"/>
      <c r="D48" s="22"/>
      <c r="E48" s="26"/>
      <c r="F48" s="16"/>
      <c r="G48" s="25" t="str">
        <f t="shared" si="0"/>
        <v/>
      </c>
      <c r="H48" s="63"/>
    </row>
    <row r="49" spans="2:8" x14ac:dyDescent="0.2">
      <c r="B49" s="51"/>
      <c r="C49" s="14"/>
      <c r="D49" s="22"/>
      <c r="E49" s="26"/>
      <c r="F49" s="16"/>
      <c r="G49" s="25" t="str">
        <f t="shared" si="0"/>
        <v/>
      </c>
      <c r="H49" s="63"/>
    </row>
    <row r="50" spans="2:8" x14ac:dyDescent="0.2">
      <c r="B50" s="51"/>
      <c r="C50" s="14"/>
      <c r="D50" s="22"/>
      <c r="E50" s="26"/>
      <c r="F50" s="16"/>
      <c r="G50" s="25" t="str">
        <f t="shared" si="0"/>
        <v/>
      </c>
      <c r="H50" s="63"/>
    </row>
    <row r="51" spans="2:8" x14ac:dyDescent="0.2">
      <c r="B51" s="51"/>
      <c r="C51" s="14"/>
      <c r="D51" s="22"/>
      <c r="E51" s="26"/>
      <c r="F51" s="16"/>
      <c r="G51" s="25" t="str">
        <f t="shared" si="0"/>
        <v/>
      </c>
      <c r="H51" s="63"/>
    </row>
    <row r="52" spans="2:8" x14ac:dyDescent="0.2">
      <c r="B52" s="51"/>
      <c r="C52" s="14"/>
      <c r="D52" s="22"/>
      <c r="E52" s="26"/>
      <c r="F52" s="16"/>
      <c r="G52" s="25" t="str">
        <f t="shared" si="0"/>
        <v/>
      </c>
      <c r="H52" s="63"/>
    </row>
    <row r="53" spans="2:8" x14ac:dyDescent="0.2">
      <c r="B53" s="51"/>
      <c r="C53" s="14"/>
      <c r="D53" s="22"/>
      <c r="E53" s="26"/>
      <c r="F53" s="16"/>
      <c r="G53" s="25" t="str">
        <f t="shared" si="0"/>
        <v/>
      </c>
      <c r="H53" s="63"/>
    </row>
    <row r="54" spans="2:8" x14ac:dyDescent="0.2">
      <c r="B54" s="51"/>
      <c r="C54" s="14"/>
      <c r="D54" s="22"/>
      <c r="E54" s="26"/>
      <c r="F54" s="16"/>
      <c r="G54" s="25" t="str">
        <f t="shared" si="0"/>
        <v/>
      </c>
      <c r="H54" s="63"/>
    </row>
    <row r="55" spans="2:8" x14ac:dyDescent="0.2">
      <c r="B55" s="51"/>
      <c r="C55" s="14"/>
      <c r="D55" s="22"/>
      <c r="E55" s="26"/>
      <c r="F55" s="16"/>
      <c r="G55" s="25" t="str">
        <f t="shared" si="0"/>
        <v/>
      </c>
      <c r="H55" s="63"/>
    </row>
    <row r="56" spans="2:8" x14ac:dyDescent="0.2">
      <c r="B56" s="51"/>
      <c r="C56" s="14"/>
      <c r="D56" s="22"/>
      <c r="E56" s="26"/>
      <c r="F56" s="16"/>
      <c r="G56" s="25" t="str">
        <f t="shared" si="0"/>
        <v/>
      </c>
      <c r="H56" s="63"/>
    </row>
    <row r="57" spans="2:8" x14ac:dyDescent="0.2">
      <c r="B57" s="51"/>
      <c r="C57" s="14"/>
      <c r="D57" s="22"/>
      <c r="E57" s="26"/>
      <c r="F57" s="16"/>
      <c r="G57" s="25"/>
      <c r="H57" s="63"/>
    </row>
    <row r="58" spans="2:8" x14ac:dyDescent="0.2">
      <c r="B58" s="51"/>
      <c r="C58" s="14"/>
      <c r="D58" s="22"/>
      <c r="E58" s="26"/>
      <c r="F58" s="16"/>
      <c r="G58" s="25" t="str">
        <f t="shared" ref="G58:G72" si="2">IF(D58="","",E58*F58)</f>
        <v/>
      </c>
      <c r="H58" s="63"/>
    </row>
    <row r="59" spans="2:8" x14ac:dyDescent="0.2">
      <c r="B59" s="51"/>
      <c r="C59" s="14"/>
      <c r="D59" s="22"/>
      <c r="E59" s="26"/>
      <c r="F59" s="16"/>
      <c r="G59" s="25" t="str">
        <f t="shared" si="2"/>
        <v/>
      </c>
      <c r="H59" s="63"/>
    </row>
    <row r="60" spans="2:8" x14ac:dyDescent="0.2">
      <c r="B60" s="51"/>
      <c r="C60" s="14"/>
      <c r="D60" s="22"/>
      <c r="E60" s="26"/>
      <c r="F60" s="16"/>
      <c r="G60" s="25" t="str">
        <f t="shared" si="2"/>
        <v/>
      </c>
      <c r="H60" s="63"/>
    </row>
    <row r="61" spans="2:8" x14ac:dyDescent="0.2">
      <c r="B61" s="51"/>
      <c r="C61" s="14"/>
      <c r="D61" s="22"/>
      <c r="E61" s="26"/>
      <c r="F61" s="16"/>
      <c r="G61" s="25" t="str">
        <f t="shared" si="2"/>
        <v/>
      </c>
      <c r="H61" s="63"/>
    </row>
    <row r="62" spans="2:8" x14ac:dyDescent="0.2">
      <c r="B62" s="51"/>
      <c r="C62" s="14"/>
      <c r="D62" s="22"/>
      <c r="E62" s="26"/>
      <c r="F62" s="16"/>
      <c r="G62" s="25" t="str">
        <f t="shared" si="2"/>
        <v/>
      </c>
      <c r="H62" s="63"/>
    </row>
    <row r="63" spans="2:8" x14ac:dyDescent="0.2">
      <c r="B63" s="51"/>
      <c r="C63" s="14"/>
      <c r="D63" s="22"/>
      <c r="E63" s="26"/>
      <c r="F63" s="16"/>
      <c r="G63" s="25" t="str">
        <f t="shared" si="2"/>
        <v/>
      </c>
      <c r="H63" s="63"/>
    </row>
    <row r="64" spans="2:8" x14ac:dyDescent="0.2">
      <c r="B64" s="51"/>
      <c r="C64" s="14"/>
      <c r="D64" s="22"/>
      <c r="E64" s="26"/>
      <c r="F64" s="16"/>
      <c r="G64" s="25" t="str">
        <f t="shared" si="2"/>
        <v/>
      </c>
      <c r="H64" s="63"/>
    </row>
    <row r="65" spans="2:11" x14ac:dyDescent="0.2">
      <c r="B65" s="51"/>
      <c r="C65" s="14"/>
      <c r="D65" s="22"/>
      <c r="E65" s="26"/>
      <c r="F65" s="16"/>
      <c r="G65" s="25" t="str">
        <f t="shared" si="2"/>
        <v/>
      </c>
      <c r="H65" s="63"/>
    </row>
    <row r="66" spans="2:11" x14ac:dyDescent="0.2">
      <c r="B66" s="51"/>
      <c r="C66" s="14"/>
      <c r="D66" s="22"/>
      <c r="E66" s="26"/>
      <c r="F66" s="16"/>
      <c r="G66" s="25" t="str">
        <f t="shared" si="2"/>
        <v/>
      </c>
      <c r="H66" s="63"/>
    </row>
    <row r="67" spans="2:11" x14ac:dyDescent="0.2">
      <c r="B67" s="51"/>
      <c r="C67" s="14"/>
      <c r="D67" s="22"/>
      <c r="E67" s="26"/>
      <c r="F67" s="16"/>
      <c r="G67" s="25" t="str">
        <f t="shared" si="2"/>
        <v/>
      </c>
      <c r="H67" s="63"/>
    </row>
    <row r="68" spans="2:11" x14ac:dyDescent="0.2">
      <c r="B68" s="51"/>
      <c r="C68" s="14"/>
      <c r="D68" s="22"/>
      <c r="E68" s="26"/>
      <c r="F68" s="16"/>
      <c r="G68" s="25" t="str">
        <f t="shared" si="2"/>
        <v/>
      </c>
      <c r="H68" s="63"/>
    </row>
    <row r="69" spans="2:11" x14ac:dyDescent="0.2">
      <c r="B69" s="51"/>
      <c r="C69" s="14"/>
      <c r="D69" s="22"/>
      <c r="E69" s="26"/>
      <c r="F69" s="16"/>
      <c r="G69" s="25" t="str">
        <f t="shared" si="2"/>
        <v/>
      </c>
      <c r="H69" s="63"/>
    </row>
    <row r="70" spans="2:11" x14ac:dyDescent="0.2">
      <c r="B70" s="51"/>
      <c r="C70" s="14"/>
      <c r="D70" s="22"/>
      <c r="E70" s="26"/>
      <c r="F70" s="16"/>
      <c r="G70" s="25" t="str">
        <f t="shared" si="2"/>
        <v/>
      </c>
      <c r="H70" s="63"/>
    </row>
    <row r="71" spans="2:11" x14ac:dyDescent="0.2">
      <c r="B71" s="51"/>
      <c r="C71" s="14"/>
      <c r="D71" s="22"/>
      <c r="E71" s="26"/>
      <c r="F71" s="16"/>
      <c r="G71" s="25" t="str">
        <f t="shared" si="2"/>
        <v/>
      </c>
      <c r="H71" s="63"/>
    </row>
    <row r="72" spans="2:11" x14ac:dyDescent="0.2">
      <c r="B72" s="51"/>
      <c r="C72" s="14"/>
      <c r="D72" s="22"/>
      <c r="E72" s="26"/>
      <c r="F72" s="16"/>
      <c r="G72" s="25" t="str">
        <f t="shared" si="2"/>
        <v/>
      </c>
      <c r="H72" s="63"/>
    </row>
    <row r="73" spans="2:11" s="30" customFormat="1" ht="24.75" customHeight="1" x14ac:dyDescent="0.2">
      <c r="B73" s="77" t="str">
        <f>$B$11</f>
        <v>C11.9</v>
      </c>
      <c r="C73" s="32" t="str">
        <f>"TOTAL CARRIED FORWARD"&amp;IF(G73=G$1," TO SUMMARY (Page C"&amp;Page_A&amp;")","")</f>
        <v>TOTAL CARRIED FORWARD TO SUMMARY (Page C49)</v>
      </c>
      <c r="D73" s="33"/>
      <c r="E73" s="34"/>
      <c r="F73" s="33"/>
      <c r="G73" s="352">
        <f>SUM(G10:G72)</f>
        <v>0</v>
      </c>
      <c r="H73" s="36"/>
      <c r="K73" s="35">
        <f>SUM(K10:K72)</f>
        <v>0</v>
      </c>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4959F2F-A784-46B3-993C-EA5CB06446C6}">
            <xm:f>AND(Information!$C$8=FALSE,$D71&lt;&gt;"P C Sum",$D71&lt;&gt;"PC Sum",$D71&lt;&gt;"P Sum",$D71&lt;&gt;"Prov Sum")</xm:f>
            <x14:dxf>
              <font>
                <strike val="0"/>
                <color theme="0"/>
              </font>
              <numFmt numFmtId="4" formatCode="#,##0.00"/>
            </x14:dxf>
          </x14:cfRule>
          <xm:sqref>F71:G72</xm:sqref>
        </x14:conditionalFormatting>
        <x14:conditionalFormatting xmlns:xm="http://schemas.microsoft.com/office/excel/2006/main">
          <x14:cfRule type="expression" priority="2" id="{94631791-8BAB-4B7A-A22C-9C8924749392}">
            <xm:f>AND(Information!$C$8=FALSE,$D73&lt;&gt;"P C Sum",$D73&lt;&gt;"PC Sum",$D73&lt;&gt;"P Sum",$D73&lt;&gt;"Prov Sum")</xm:f>
            <x14:dxf>
              <font>
                <strike val="0"/>
                <color theme="0"/>
              </font>
              <numFmt numFmtId="4" formatCode="#,##0.00"/>
            </x14:dxf>
          </x14:cfRule>
          <xm:sqref>G73</xm:sqref>
        </x14:conditionalFormatting>
        <x14:conditionalFormatting xmlns:xm="http://schemas.microsoft.com/office/excel/2006/main">
          <x14:cfRule type="expression" priority="1" id="{C02FEA3B-0457-4B7D-A3BB-A3ABF1BC3707}">
            <xm:f>AND(Information!$C$8=FALSE,$D11&lt;&gt;"P C Sum",$D11&lt;&gt;"PC Sum",$D11&lt;&gt;"P Sum",$D11&lt;&gt;"Prov Sum")</xm:f>
            <x14:dxf>
              <font>
                <strike val="0"/>
                <color theme="0"/>
              </font>
              <numFmt numFmtId="4" formatCode="#,##0.00"/>
            </x14:dxf>
          </x14:cfRule>
          <xm:sqref>F11:G70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1A5F-0376-483C-9132-C999F6C86075}">
  <sheetPr codeName="Sheet88">
    <tabColor rgb="FF00B050"/>
  </sheetPr>
  <dimension ref="B1:M64"/>
  <sheetViews>
    <sheetView view="pageBreakPreview" zoomScaleNormal="125" zoomScaleSheetLayoutView="100" zoomScalePageLayoutView="125" workbookViewId="0">
      <selection activeCell="F13" sqref="F13"/>
    </sheetView>
  </sheetViews>
  <sheetFormatPr defaultColWidth="8.85546875" defaultRowHeight="12" x14ac:dyDescent="0.2"/>
  <cols>
    <col min="1" max="1" width="0.85546875" style="85" customWidth="1"/>
    <col min="2" max="2" width="11.5703125" style="89" customWidth="1"/>
    <col min="3" max="3" width="45.5703125" style="88" customWidth="1"/>
    <col min="4" max="4" width="13.5703125" style="87" customWidth="1"/>
    <col min="5" max="5" width="15.5703125" style="87" customWidth="1"/>
    <col min="6" max="6" width="15.5703125" style="85" customWidth="1"/>
    <col min="7" max="7" width="15.5703125" style="86" customWidth="1"/>
    <col min="8" max="8" width="0.85546875" style="86" customWidth="1"/>
    <col min="9" max="10" width="8.85546875" style="85"/>
    <col min="11" max="11" width="11.7109375" style="85" bestFit="1" customWidth="1"/>
    <col min="12" max="16384" width="8.85546875" style="85"/>
  </cols>
  <sheetData>
    <row r="1" spans="2:13" ht="12.75" x14ac:dyDescent="0.2">
      <c r="G1" s="166">
        <f>MAX(G9:G427)</f>
        <v>0</v>
      </c>
    </row>
    <row r="2" spans="2:13" x14ac:dyDescent="0.2">
      <c r="B2" s="112" t="str">
        <f>Client1</f>
        <v>Province of KwaZulu-Natal</v>
      </c>
      <c r="E2" s="718" t="str">
        <f>"Contract No. "&amp;ContractNo</f>
        <v>Contract No. ZNB02287/00000/00/MET/INF/24/T</v>
      </c>
      <c r="F2" s="718"/>
      <c r="G2" s="718"/>
      <c r="J2" s="293"/>
      <c r="K2" s="293">
        <f>MAX(K3:K172)</f>
        <v>0</v>
      </c>
      <c r="L2" s="293"/>
      <c r="M2" s="294"/>
    </row>
    <row r="3" spans="2:13" ht="12.75" x14ac:dyDescent="0.2">
      <c r="B3" s="111" t="str">
        <f>Client2</f>
        <v>Department of Transport</v>
      </c>
      <c r="J3" s="1" t="s">
        <v>470</v>
      </c>
      <c r="K3" s="1" t="s">
        <v>471</v>
      </c>
      <c r="L3" s="1" t="s">
        <v>472</v>
      </c>
      <c r="M3" s="1" t="s">
        <v>473</v>
      </c>
    </row>
    <row r="4" spans="2:13" ht="12.75" x14ac:dyDescent="0.2">
      <c r="B4" s="88"/>
      <c r="J4" s="73"/>
      <c r="K4" s="73"/>
      <c r="L4" s="73"/>
      <c r="M4" s="73"/>
    </row>
    <row r="5" spans="2:13" ht="12.75" customHeight="1" x14ac:dyDescent="0.2">
      <c r="B5" s="722" t="s">
        <v>8</v>
      </c>
      <c r="C5" s="723"/>
      <c r="D5" s="723"/>
      <c r="E5" s="723"/>
      <c r="F5" s="723"/>
      <c r="G5" s="719" t="str">
        <f>"CHAPTER "&amp;B11</f>
        <v>CHAPTER C13.8</v>
      </c>
      <c r="H5" s="113"/>
      <c r="J5" s="1"/>
      <c r="K5" s="1"/>
      <c r="L5" s="1"/>
      <c r="M5" s="1"/>
    </row>
    <row r="6" spans="2:13" ht="7.5" customHeight="1" x14ac:dyDescent="0.2">
      <c r="B6" s="724" t="str">
        <f>ContractDescription</f>
        <v>PROVISION OF ROUTINE AND SAFETY MAINTENANCE ON MIAN ROAD P3/1 (KM 69.00 TO KM 77.96), P3/2 (KM 0.00 TO KM 11.50), P21/2(KM 0.00 TO KM 29.83 IN THE ETHEKWINI METRO - DURBAN REGION</v>
      </c>
      <c r="C6" s="725"/>
      <c r="D6" s="725"/>
      <c r="E6" s="725"/>
      <c r="F6" s="725"/>
      <c r="G6" s="720"/>
      <c r="H6" s="110"/>
      <c r="J6" s="1"/>
      <c r="K6" s="1"/>
      <c r="L6" s="1"/>
      <c r="M6" s="1"/>
    </row>
    <row r="7" spans="2:13" ht="12.75" customHeight="1" x14ac:dyDescent="0.2">
      <c r="B7" s="724"/>
      <c r="C7" s="725"/>
      <c r="D7" s="725"/>
      <c r="E7" s="725"/>
      <c r="F7" s="725"/>
      <c r="G7" s="720"/>
      <c r="H7" s="110"/>
      <c r="J7" s="1"/>
      <c r="K7" s="1"/>
      <c r="L7" s="1"/>
      <c r="M7" s="1"/>
    </row>
    <row r="8" spans="2:13" s="108" customFormat="1" ht="7.5" customHeight="1" x14ac:dyDescent="0.2">
      <c r="B8" s="726"/>
      <c r="C8" s="727"/>
      <c r="D8" s="727"/>
      <c r="E8" s="727"/>
      <c r="F8" s="727"/>
      <c r="G8" s="721"/>
      <c r="H8" s="109"/>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ht="12.75" x14ac:dyDescent="0.2">
      <c r="B10" s="95"/>
      <c r="C10" s="93"/>
      <c r="D10" s="92"/>
      <c r="E10" s="92"/>
      <c r="F10" s="16"/>
      <c r="G10" s="25"/>
      <c r="H10" s="103"/>
      <c r="J10" s="16"/>
      <c r="K10" s="16"/>
      <c r="L10" s="16"/>
      <c r="M10" s="16"/>
    </row>
    <row r="11" spans="2:13" ht="12.75" x14ac:dyDescent="0.2">
      <c r="B11" s="47" t="s">
        <v>683</v>
      </c>
      <c r="C11" s="20" t="s">
        <v>108</v>
      </c>
      <c r="D11" s="92"/>
      <c r="E11" s="92"/>
      <c r="F11" s="16"/>
      <c r="G11" s="25" t="str">
        <f t="shared" ref="G11:G18" si="0">IF(D11="","",E11*F11)</f>
        <v/>
      </c>
      <c r="H11" s="103"/>
      <c r="J11" s="41"/>
      <c r="K11" s="41"/>
      <c r="L11" s="41"/>
      <c r="M11" s="41"/>
    </row>
    <row r="12" spans="2:13" ht="12.75" x14ac:dyDescent="0.2">
      <c r="B12" s="95"/>
      <c r="C12" s="93"/>
      <c r="D12" s="92"/>
      <c r="E12" s="92"/>
      <c r="F12" s="16"/>
      <c r="G12" s="25" t="str">
        <f t="shared" si="0"/>
        <v/>
      </c>
      <c r="H12" s="103"/>
      <c r="J12" s="41"/>
      <c r="K12" s="41"/>
      <c r="L12" s="41"/>
      <c r="M12" s="41"/>
    </row>
    <row r="13" spans="2:13" ht="12.75" x14ac:dyDescent="0.2">
      <c r="B13" s="13" t="s">
        <v>684</v>
      </c>
      <c r="C13" s="14" t="s">
        <v>685</v>
      </c>
      <c r="D13" s="92" t="s">
        <v>6</v>
      </c>
      <c r="E13" s="92">
        <v>80</v>
      </c>
      <c r="F13" s="16"/>
      <c r="G13" s="25">
        <f t="shared" si="0"/>
        <v>0</v>
      </c>
      <c r="H13" s="103"/>
      <c r="J13" s="24"/>
      <c r="K13" s="46" t="str">
        <f t="shared" ref="K13:K46" si="1">IF(J13="","",J13*E13)</f>
        <v/>
      </c>
      <c r="L13" s="24"/>
      <c r="M13" s="24"/>
    </row>
    <row r="14" spans="2:13" ht="12.75" x14ac:dyDescent="0.2">
      <c r="B14" s="102"/>
      <c r="C14" s="93"/>
      <c r="D14" s="92"/>
      <c r="E14" s="92"/>
      <c r="F14" s="16"/>
      <c r="G14" s="25" t="str">
        <f t="shared" si="0"/>
        <v/>
      </c>
      <c r="H14" s="103"/>
      <c r="J14" s="41"/>
      <c r="K14" s="46" t="str">
        <f t="shared" si="1"/>
        <v/>
      </c>
      <c r="L14" s="41"/>
      <c r="M14" s="41"/>
    </row>
    <row r="15" spans="2:13" ht="12.75" x14ac:dyDescent="0.2">
      <c r="B15" s="95"/>
      <c r="C15" s="93"/>
      <c r="D15" s="94"/>
      <c r="E15" s="99"/>
      <c r="F15" s="16"/>
      <c r="G15" s="25" t="str">
        <f t="shared" si="0"/>
        <v/>
      </c>
      <c r="H15" s="106"/>
      <c r="J15" s="41"/>
      <c r="K15" s="46" t="str">
        <f t="shared" si="1"/>
        <v/>
      </c>
      <c r="L15" s="41"/>
      <c r="M15" s="41"/>
    </row>
    <row r="16" spans="2:13" ht="12.75" x14ac:dyDescent="0.2">
      <c r="B16" s="102"/>
      <c r="C16" s="93"/>
      <c r="D16" s="92"/>
      <c r="E16" s="90"/>
      <c r="F16" s="16"/>
      <c r="G16" s="25" t="str">
        <f t="shared" si="0"/>
        <v/>
      </c>
      <c r="H16" s="103"/>
      <c r="J16" s="41"/>
      <c r="K16" s="46" t="str">
        <f t="shared" si="1"/>
        <v/>
      </c>
      <c r="L16" s="41"/>
      <c r="M16" s="41"/>
    </row>
    <row r="17" spans="2:13" ht="12.75" x14ac:dyDescent="0.2">
      <c r="B17" s="95"/>
      <c r="C17" s="93"/>
      <c r="D17" s="94"/>
      <c r="E17" s="90"/>
      <c r="F17" s="16"/>
      <c r="G17" s="25" t="str">
        <f t="shared" si="0"/>
        <v/>
      </c>
      <c r="H17" s="103"/>
      <c r="J17" s="41"/>
      <c r="K17" s="46" t="str">
        <f t="shared" si="1"/>
        <v/>
      </c>
      <c r="L17" s="41"/>
      <c r="M17" s="41"/>
    </row>
    <row r="18" spans="2:13" ht="12.75" x14ac:dyDescent="0.2">
      <c r="B18" s="102"/>
      <c r="C18" s="93"/>
      <c r="D18" s="92"/>
      <c r="E18" s="90"/>
      <c r="F18" s="16"/>
      <c r="G18" s="25" t="str">
        <f t="shared" si="0"/>
        <v/>
      </c>
      <c r="H18" s="107"/>
      <c r="J18" s="41"/>
      <c r="K18" s="46" t="str">
        <f t="shared" si="1"/>
        <v/>
      </c>
      <c r="L18" s="41"/>
      <c r="M18" s="41"/>
    </row>
    <row r="19" spans="2:13" ht="12.75" x14ac:dyDescent="0.2">
      <c r="B19" s="95"/>
      <c r="C19" s="93"/>
      <c r="D19" s="94"/>
      <c r="E19" s="90"/>
      <c r="F19" s="16"/>
      <c r="G19" s="25" t="str">
        <f t="shared" ref="G19:G31" si="2">IF(D19="","",E19*F19)</f>
        <v/>
      </c>
      <c r="H19" s="103"/>
      <c r="J19" s="41"/>
      <c r="K19" s="46" t="str">
        <f t="shared" si="1"/>
        <v/>
      </c>
      <c r="L19" s="41"/>
      <c r="M19" s="41"/>
    </row>
    <row r="20" spans="2:13" ht="12.75" x14ac:dyDescent="0.2">
      <c r="B20" s="102"/>
      <c r="C20" s="93"/>
      <c r="D20" s="92"/>
      <c r="E20" s="90"/>
      <c r="F20" s="16"/>
      <c r="G20" s="25" t="str">
        <f t="shared" si="2"/>
        <v/>
      </c>
      <c r="H20" s="103"/>
      <c r="J20" s="41"/>
      <c r="K20" s="46" t="str">
        <f t="shared" si="1"/>
        <v/>
      </c>
      <c r="L20" s="41"/>
      <c r="M20" s="41"/>
    </row>
    <row r="21" spans="2:13" ht="12.75" x14ac:dyDescent="0.2">
      <c r="B21" s="95"/>
      <c r="C21" s="93"/>
      <c r="D21" s="94"/>
      <c r="E21" s="90"/>
      <c r="F21" s="16"/>
      <c r="G21" s="25" t="str">
        <f t="shared" si="2"/>
        <v/>
      </c>
      <c r="H21" s="103"/>
      <c r="J21" s="41"/>
      <c r="K21" s="46" t="str">
        <f t="shared" si="1"/>
        <v/>
      </c>
      <c r="L21" s="41"/>
      <c r="M21" s="41"/>
    </row>
    <row r="22" spans="2:13" ht="12.75" x14ac:dyDescent="0.2">
      <c r="B22" s="102"/>
      <c r="C22" s="93"/>
      <c r="D22" s="92"/>
      <c r="E22" s="90"/>
      <c r="F22" s="16"/>
      <c r="G22" s="25" t="str">
        <f t="shared" si="2"/>
        <v/>
      </c>
      <c r="H22" s="103"/>
      <c r="J22" s="41"/>
      <c r="K22" s="46" t="str">
        <f t="shared" si="1"/>
        <v/>
      </c>
      <c r="L22" s="41"/>
      <c r="M22" s="41"/>
    </row>
    <row r="23" spans="2:13" ht="12.75" x14ac:dyDescent="0.2">
      <c r="B23" s="95"/>
      <c r="C23" s="96"/>
      <c r="D23" s="94"/>
      <c r="E23" s="90"/>
      <c r="F23" s="16"/>
      <c r="G23" s="25" t="str">
        <f t="shared" si="2"/>
        <v/>
      </c>
      <c r="H23" s="106"/>
      <c r="J23" s="41"/>
      <c r="K23" s="46" t="str">
        <f t="shared" si="1"/>
        <v/>
      </c>
      <c r="L23" s="41"/>
      <c r="M23" s="41"/>
    </row>
    <row r="24" spans="2:13" ht="12.75" x14ac:dyDescent="0.2">
      <c r="B24" s="102"/>
      <c r="C24" s="93"/>
      <c r="D24" s="92"/>
      <c r="E24" s="90"/>
      <c r="F24" s="16"/>
      <c r="G24" s="25" t="str">
        <f t="shared" si="2"/>
        <v/>
      </c>
      <c r="H24" s="103"/>
      <c r="J24" s="41"/>
      <c r="K24" s="46" t="str">
        <f t="shared" si="1"/>
        <v/>
      </c>
      <c r="L24" s="41"/>
      <c r="M24" s="41"/>
    </row>
    <row r="25" spans="2:13" ht="12.75" x14ac:dyDescent="0.2">
      <c r="B25" s="101"/>
      <c r="C25" s="93"/>
      <c r="D25" s="94"/>
      <c r="E25" s="92"/>
      <c r="F25" s="16"/>
      <c r="G25" s="25" t="str">
        <f t="shared" si="2"/>
        <v/>
      </c>
      <c r="H25" s="103"/>
      <c r="J25" s="41"/>
      <c r="K25" s="46" t="str">
        <f t="shared" si="1"/>
        <v/>
      </c>
      <c r="L25" s="41"/>
      <c r="M25" s="41"/>
    </row>
    <row r="26" spans="2:13" ht="12.75" x14ac:dyDescent="0.2">
      <c r="B26" s="102"/>
      <c r="C26" s="93"/>
      <c r="D26" s="92"/>
      <c r="E26" s="92"/>
      <c r="F26" s="16"/>
      <c r="G26" s="25" t="str">
        <f t="shared" si="2"/>
        <v/>
      </c>
      <c r="H26" s="103"/>
      <c r="J26" s="41"/>
      <c r="K26" s="46" t="str">
        <f t="shared" si="1"/>
        <v/>
      </c>
      <c r="L26" s="41"/>
      <c r="M26" s="41"/>
    </row>
    <row r="27" spans="2:13" ht="12.75" x14ac:dyDescent="0.2">
      <c r="B27" s="102"/>
      <c r="C27" s="93"/>
      <c r="D27" s="94"/>
      <c r="E27" s="92"/>
      <c r="F27" s="16"/>
      <c r="G27" s="25" t="str">
        <f t="shared" si="2"/>
        <v/>
      </c>
      <c r="J27" s="41"/>
      <c r="K27" s="46" t="str">
        <f t="shared" si="1"/>
        <v/>
      </c>
      <c r="L27" s="41"/>
      <c r="M27" s="41"/>
    </row>
    <row r="28" spans="2:13" ht="12.75" x14ac:dyDescent="0.2">
      <c r="B28" s="102"/>
      <c r="C28" s="93"/>
      <c r="D28" s="92"/>
      <c r="E28" s="90"/>
      <c r="F28" s="16"/>
      <c r="G28" s="25" t="str">
        <f t="shared" si="2"/>
        <v/>
      </c>
      <c r="J28" s="41"/>
      <c r="K28" s="46" t="str">
        <f t="shared" si="1"/>
        <v/>
      </c>
      <c r="L28" s="41"/>
      <c r="M28" s="41"/>
    </row>
    <row r="29" spans="2:13" ht="12.75" x14ac:dyDescent="0.2">
      <c r="B29" s="102"/>
      <c r="C29" s="93"/>
      <c r="D29" s="94"/>
      <c r="E29" s="90"/>
      <c r="F29" s="16"/>
      <c r="G29" s="25" t="str">
        <f t="shared" si="2"/>
        <v/>
      </c>
      <c r="J29" s="346"/>
      <c r="K29" s="46" t="str">
        <f t="shared" si="1"/>
        <v/>
      </c>
      <c r="L29" s="41"/>
      <c r="M29" s="41"/>
    </row>
    <row r="30" spans="2:13" ht="12.75" x14ac:dyDescent="0.2">
      <c r="B30" s="102"/>
      <c r="C30" s="93"/>
      <c r="D30" s="92"/>
      <c r="E30" s="90"/>
      <c r="F30" s="16"/>
      <c r="G30" s="25" t="str">
        <f t="shared" si="2"/>
        <v/>
      </c>
      <c r="J30" s="41"/>
      <c r="K30" s="46" t="str">
        <f t="shared" si="1"/>
        <v/>
      </c>
      <c r="L30" s="41"/>
      <c r="M30" s="41"/>
    </row>
    <row r="31" spans="2:13" ht="12.75" x14ac:dyDescent="0.2">
      <c r="B31" s="95"/>
      <c r="C31" s="96"/>
      <c r="D31" s="94"/>
      <c r="E31" s="90"/>
      <c r="F31" s="16"/>
      <c r="G31" s="25" t="str">
        <f t="shared" si="2"/>
        <v/>
      </c>
      <c r="J31" s="41"/>
      <c r="K31" s="46" t="str">
        <f t="shared" si="1"/>
        <v/>
      </c>
      <c r="L31" s="41"/>
      <c r="M31" s="41"/>
    </row>
    <row r="32" spans="2:13" s="86" customFormat="1" ht="12.75" x14ac:dyDescent="0.2">
      <c r="B32" s="95"/>
      <c r="C32" s="93"/>
      <c r="D32" s="94"/>
      <c r="E32" s="90"/>
      <c r="F32" s="16"/>
      <c r="G32" s="25"/>
      <c r="J32" s="41"/>
      <c r="K32" s="46" t="str">
        <f t="shared" si="1"/>
        <v/>
      </c>
      <c r="L32" s="41"/>
      <c r="M32" s="41"/>
    </row>
    <row r="33" spans="2:13" s="86" customFormat="1" ht="12.75" x14ac:dyDescent="0.2">
      <c r="B33" s="102"/>
      <c r="C33" s="93"/>
      <c r="D33" s="94"/>
      <c r="E33" s="90"/>
      <c r="F33" s="16"/>
      <c r="G33" s="25" t="str">
        <f t="shared" ref="G33:G63" si="3">IF(D33="","",E33*F33)</f>
        <v/>
      </c>
      <c r="J33" s="346"/>
      <c r="K33" s="46" t="str">
        <f t="shared" si="1"/>
        <v/>
      </c>
      <c r="L33" s="41"/>
      <c r="M33" s="41"/>
    </row>
    <row r="34" spans="2:13" s="86" customFormat="1" ht="12.75" x14ac:dyDescent="0.2">
      <c r="B34" s="102"/>
      <c r="C34" s="93"/>
      <c r="D34" s="92"/>
      <c r="E34" s="90"/>
      <c r="F34" s="16"/>
      <c r="G34" s="25" t="str">
        <f t="shared" si="3"/>
        <v/>
      </c>
      <c r="J34" s="41"/>
      <c r="K34" s="46" t="str">
        <f t="shared" si="1"/>
        <v/>
      </c>
      <c r="L34" s="41"/>
      <c r="M34" s="41"/>
    </row>
    <row r="35" spans="2:13" s="86" customFormat="1" ht="12.75" x14ac:dyDescent="0.2">
      <c r="B35" s="95"/>
      <c r="C35" s="93"/>
      <c r="D35" s="94"/>
      <c r="E35" s="90"/>
      <c r="F35" s="16"/>
      <c r="G35" s="25" t="str">
        <f t="shared" si="3"/>
        <v/>
      </c>
      <c r="J35" s="346"/>
      <c r="K35" s="46" t="str">
        <f t="shared" si="1"/>
        <v/>
      </c>
      <c r="L35" s="41"/>
      <c r="M35" s="41"/>
    </row>
    <row r="36" spans="2:13" s="86" customFormat="1" ht="12.75" x14ac:dyDescent="0.2">
      <c r="B36" s="102"/>
      <c r="C36" s="93"/>
      <c r="D36" s="92"/>
      <c r="E36" s="90"/>
      <c r="F36" s="16"/>
      <c r="G36" s="25" t="str">
        <f t="shared" si="3"/>
        <v/>
      </c>
      <c r="J36" s="41"/>
      <c r="K36" s="46" t="str">
        <f t="shared" si="1"/>
        <v/>
      </c>
      <c r="L36" s="41"/>
      <c r="M36" s="41"/>
    </row>
    <row r="37" spans="2:13" s="86" customFormat="1" ht="12.75" x14ac:dyDescent="0.2">
      <c r="B37" s="95"/>
      <c r="C37" s="93"/>
      <c r="D37" s="94"/>
      <c r="E37" s="90"/>
      <c r="F37" s="16"/>
      <c r="G37" s="25" t="str">
        <f t="shared" si="3"/>
        <v/>
      </c>
      <c r="J37" s="346"/>
      <c r="K37" s="46" t="str">
        <f t="shared" si="1"/>
        <v/>
      </c>
      <c r="L37" s="41"/>
      <c r="M37" s="41"/>
    </row>
    <row r="38" spans="2:13" s="86" customFormat="1" ht="12.75" x14ac:dyDescent="0.2">
      <c r="B38" s="95"/>
      <c r="C38" s="93"/>
      <c r="D38" s="94"/>
      <c r="E38" s="90"/>
      <c r="F38" s="16"/>
      <c r="G38" s="25" t="str">
        <f t="shared" si="3"/>
        <v/>
      </c>
      <c r="J38" s="41"/>
      <c r="K38" s="46" t="str">
        <f t="shared" si="1"/>
        <v/>
      </c>
      <c r="L38" s="41"/>
      <c r="M38" s="41"/>
    </row>
    <row r="39" spans="2:13" s="86" customFormat="1" ht="12.75" x14ac:dyDescent="0.2">
      <c r="B39" s="95"/>
      <c r="C39" s="93"/>
      <c r="D39" s="94"/>
      <c r="E39" s="90"/>
      <c r="F39" s="16"/>
      <c r="G39" s="25" t="str">
        <f t="shared" si="3"/>
        <v/>
      </c>
      <c r="J39" s="41"/>
      <c r="K39" s="46" t="str">
        <f t="shared" si="1"/>
        <v/>
      </c>
      <c r="L39" s="41"/>
      <c r="M39" s="41"/>
    </row>
    <row r="40" spans="2:13" s="86" customFormat="1" ht="12.75" x14ac:dyDescent="0.2">
      <c r="B40" s="95"/>
      <c r="C40" s="93"/>
      <c r="D40" s="94"/>
      <c r="E40" s="90"/>
      <c r="F40" s="16"/>
      <c r="G40" s="25" t="str">
        <f t="shared" si="3"/>
        <v/>
      </c>
      <c r="J40" s="41"/>
      <c r="K40" s="46" t="str">
        <f t="shared" si="1"/>
        <v/>
      </c>
      <c r="L40" s="41"/>
      <c r="M40" s="41"/>
    </row>
    <row r="41" spans="2:13" s="86" customFormat="1" ht="12.75" x14ac:dyDescent="0.2">
      <c r="B41" s="101"/>
      <c r="C41" s="93"/>
      <c r="D41" s="94"/>
      <c r="E41" s="90"/>
      <c r="F41" s="16"/>
      <c r="G41" s="25" t="str">
        <f t="shared" si="3"/>
        <v/>
      </c>
      <c r="J41" s="41"/>
      <c r="K41" s="46" t="str">
        <f t="shared" si="1"/>
        <v/>
      </c>
      <c r="L41" s="41"/>
      <c r="M41" s="41"/>
    </row>
    <row r="42" spans="2:13" s="86" customFormat="1" ht="12.75" x14ac:dyDescent="0.2">
      <c r="B42" s="102"/>
      <c r="C42" s="93"/>
      <c r="D42" s="92"/>
      <c r="E42" s="90"/>
      <c r="F42" s="16"/>
      <c r="G42" s="25" t="str">
        <f t="shared" si="3"/>
        <v/>
      </c>
      <c r="J42" s="41"/>
      <c r="K42" s="46" t="str">
        <f t="shared" si="1"/>
        <v/>
      </c>
      <c r="L42" s="41"/>
      <c r="M42" s="41"/>
    </row>
    <row r="43" spans="2:13" s="86" customFormat="1" ht="12.75" x14ac:dyDescent="0.2">
      <c r="B43" s="95"/>
      <c r="C43" s="96"/>
      <c r="D43" s="91"/>
      <c r="E43" s="90"/>
      <c r="F43" s="16"/>
      <c r="G43" s="25" t="str">
        <f t="shared" si="3"/>
        <v/>
      </c>
      <c r="J43" s="41"/>
      <c r="K43" s="46" t="str">
        <f t="shared" si="1"/>
        <v/>
      </c>
      <c r="L43" s="41"/>
      <c r="M43" s="41"/>
    </row>
    <row r="44" spans="2:13" s="86" customFormat="1" ht="12.75" x14ac:dyDescent="0.2">
      <c r="B44" s="102"/>
      <c r="C44" s="100"/>
      <c r="D44" s="91"/>
      <c r="E44" s="90"/>
      <c r="F44" s="16"/>
      <c r="G44" s="25" t="str">
        <f t="shared" si="3"/>
        <v/>
      </c>
      <c r="J44" s="41"/>
      <c r="K44" s="46" t="str">
        <f t="shared" si="1"/>
        <v/>
      </c>
      <c r="L44" s="41"/>
      <c r="M44" s="41"/>
    </row>
    <row r="45" spans="2:13" s="86" customFormat="1" ht="12.75" x14ac:dyDescent="0.2">
      <c r="B45" s="102"/>
      <c r="C45" s="93"/>
      <c r="D45" s="94"/>
      <c r="E45" s="90"/>
      <c r="F45" s="16"/>
      <c r="G45" s="25" t="str">
        <f t="shared" si="3"/>
        <v/>
      </c>
      <c r="J45" s="41"/>
      <c r="K45" s="46" t="str">
        <f t="shared" si="1"/>
        <v/>
      </c>
      <c r="L45" s="41"/>
      <c r="M45" s="41"/>
    </row>
    <row r="46" spans="2:13" s="86" customFormat="1" ht="12.75" x14ac:dyDescent="0.2">
      <c r="B46" s="102"/>
      <c r="C46" s="100"/>
      <c r="D46" s="91"/>
      <c r="E46" s="90"/>
      <c r="F46" s="16"/>
      <c r="G46" s="25" t="str">
        <f t="shared" si="3"/>
        <v/>
      </c>
      <c r="J46" s="41"/>
      <c r="K46" s="46" t="str">
        <f t="shared" si="1"/>
        <v/>
      </c>
      <c r="L46" s="41"/>
      <c r="M46" s="41"/>
    </row>
    <row r="47" spans="2:13" s="86" customFormat="1" ht="12.75" x14ac:dyDescent="0.2">
      <c r="B47" s="95"/>
      <c r="C47" s="96"/>
      <c r="D47" s="91"/>
      <c r="E47" s="90"/>
      <c r="F47" s="16"/>
      <c r="G47" s="25" t="str">
        <f t="shared" si="3"/>
        <v/>
      </c>
      <c r="J47" s="41"/>
      <c r="K47" s="46" t="str">
        <f t="shared" ref="K47:K63" si="4">IF(J47="","",J47*E47)</f>
        <v/>
      </c>
      <c r="L47" s="41"/>
      <c r="M47" s="41"/>
    </row>
    <row r="48" spans="2:13" s="86" customFormat="1" ht="12.75" x14ac:dyDescent="0.2">
      <c r="B48" s="102"/>
      <c r="C48" s="100"/>
      <c r="D48" s="91"/>
      <c r="E48" s="90"/>
      <c r="F48" s="16"/>
      <c r="G48" s="25" t="str">
        <f t="shared" si="3"/>
        <v/>
      </c>
      <c r="J48" s="41"/>
      <c r="K48" s="46" t="str">
        <f t="shared" si="4"/>
        <v/>
      </c>
      <c r="L48" s="41"/>
      <c r="M48" s="41"/>
    </row>
    <row r="49" spans="2:13" s="86" customFormat="1" ht="12.75" x14ac:dyDescent="0.2">
      <c r="B49" s="102"/>
      <c r="C49" s="93"/>
      <c r="D49" s="94"/>
      <c r="E49" s="90"/>
      <c r="F49" s="16"/>
      <c r="G49" s="25" t="str">
        <f t="shared" si="3"/>
        <v/>
      </c>
      <c r="J49" s="346">
        <f>F49*15%</f>
        <v>0</v>
      </c>
      <c r="K49" s="46">
        <f t="shared" si="4"/>
        <v>0</v>
      </c>
      <c r="L49" s="41"/>
      <c r="M49" s="41"/>
    </row>
    <row r="50" spans="2:13" s="86" customFormat="1" ht="12.75" x14ac:dyDescent="0.2">
      <c r="B50" s="95"/>
      <c r="C50" s="93"/>
      <c r="D50" s="92"/>
      <c r="E50" s="90"/>
      <c r="F50" s="16"/>
      <c r="G50" s="25" t="str">
        <f t="shared" si="3"/>
        <v/>
      </c>
      <c r="J50" s="41"/>
      <c r="K50" s="46" t="str">
        <f t="shared" si="4"/>
        <v/>
      </c>
      <c r="L50" s="41"/>
      <c r="M50" s="41"/>
    </row>
    <row r="51" spans="2:13" s="86" customFormat="1" ht="12.75" x14ac:dyDescent="0.2">
      <c r="B51" s="102"/>
      <c r="C51" s="93"/>
      <c r="D51" s="94"/>
      <c r="E51" s="90"/>
      <c r="F51" s="16"/>
      <c r="G51" s="25" t="str">
        <f t="shared" si="3"/>
        <v/>
      </c>
      <c r="J51" s="346">
        <f>F51*40%</f>
        <v>0</v>
      </c>
      <c r="K51" s="46">
        <f t="shared" si="4"/>
        <v>0</v>
      </c>
      <c r="L51" s="41"/>
      <c r="M51" s="41"/>
    </row>
    <row r="52" spans="2:13" s="86" customFormat="1" ht="12.75" x14ac:dyDescent="0.2">
      <c r="B52" s="95"/>
      <c r="C52" s="93"/>
      <c r="D52" s="94"/>
      <c r="E52" s="90"/>
      <c r="F52" s="16"/>
      <c r="G52" s="25" t="str">
        <f t="shared" si="3"/>
        <v/>
      </c>
      <c r="J52" s="41"/>
      <c r="K52" s="46" t="str">
        <f t="shared" si="4"/>
        <v/>
      </c>
      <c r="L52" s="41"/>
      <c r="M52" s="41"/>
    </row>
    <row r="53" spans="2:13" s="86" customFormat="1" ht="12.75" x14ac:dyDescent="0.2">
      <c r="B53" s="95"/>
      <c r="C53" s="93"/>
      <c r="D53" s="94"/>
      <c r="E53" s="90"/>
      <c r="F53" s="16"/>
      <c r="G53" s="25" t="str">
        <f t="shared" si="3"/>
        <v/>
      </c>
      <c r="J53" s="41"/>
      <c r="K53" s="46" t="str">
        <f t="shared" si="4"/>
        <v/>
      </c>
      <c r="L53" s="41"/>
      <c r="M53" s="41"/>
    </row>
    <row r="54" spans="2:13" s="86" customFormat="1" ht="12.75" x14ac:dyDescent="0.2">
      <c r="B54" s="95"/>
      <c r="C54" s="93"/>
      <c r="D54" s="94"/>
      <c r="E54" s="90"/>
      <c r="F54" s="16"/>
      <c r="G54" s="25" t="str">
        <f t="shared" si="3"/>
        <v/>
      </c>
      <c r="J54" s="41"/>
      <c r="K54" s="46" t="str">
        <f t="shared" si="4"/>
        <v/>
      </c>
      <c r="L54" s="41"/>
      <c r="M54" s="41"/>
    </row>
    <row r="55" spans="2:13" s="86" customFormat="1" ht="12.75" x14ac:dyDescent="0.2">
      <c r="B55" s="95"/>
      <c r="C55" s="93"/>
      <c r="D55" s="94"/>
      <c r="E55" s="90"/>
      <c r="F55" s="16"/>
      <c r="G55" s="25" t="str">
        <f t="shared" si="3"/>
        <v/>
      </c>
      <c r="J55" s="41"/>
      <c r="K55" s="46" t="str">
        <f t="shared" si="4"/>
        <v/>
      </c>
      <c r="L55" s="41"/>
      <c r="M55" s="41"/>
    </row>
    <row r="56" spans="2:13" s="86" customFormat="1" ht="12.75" x14ac:dyDescent="0.2">
      <c r="B56" s="95"/>
      <c r="C56" s="93"/>
      <c r="D56" s="94"/>
      <c r="E56" s="90"/>
      <c r="F56" s="16"/>
      <c r="G56" s="25" t="str">
        <f t="shared" si="3"/>
        <v/>
      </c>
      <c r="J56" s="41"/>
      <c r="K56" s="46" t="str">
        <f t="shared" si="4"/>
        <v/>
      </c>
      <c r="L56" s="41"/>
      <c r="M56" s="41"/>
    </row>
    <row r="57" spans="2:13" s="86" customFormat="1" ht="12.75" x14ac:dyDescent="0.2">
      <c r="B57" s="95"/>
      <c r="C57" s="93"/>
      <c r="D57" s="94"/>
      <c r="E57" s="90"/>
      <c r="F57" s="16"/>
      <c r="G57" s="25" t="str">
        <f t="shared" si="3"/>
        <v/>
      </c>
      <c r="J57" s="41"/>
      <c r="K57" s="46" t="str">
        <f t="shared" si="4"/>
        <v/>
      </c>
      <c r="L57" s="41"/>
      <c r="M57" s="41"/>
    </row>
    <row r="58" spans="2:13" s="86" customFormat="1" ht="12.75" x14ac:dyDescent="0.2">
      <c r="B58" s="95"/>
      <c r="C58" s="93"/>
      <c r="D58" s="94"/>
      <c r="E58" s="90"/>
      <c r="F58" s="16"/>
      <c r="G58" s="25" t="str">
        <f t="shared" si="3"/>
        <v/>
      </c>
      <c r="J58" s="41"/>
      <c r="K58" s="46" t="str">
        <f t="shared" si="4"/>
        <v/>
      </c>
      <c r="L58" s="41"/>
      <c r="M58" s="41"/>
    </row>
    <row r="59" spans="2:13" s="86" customFormat="1" ht="12.75" x14ac:dyDescent="0.2">
      <c r="B59" s="102"/>
      <c r="C59" s="93"/>
      <c r="D59" s="92"/>
      <c r="E59" s="90"/>
      <c r="F59" s="16"/>
      <c r="G59" s="25"/>
      <c r="J59" s="41"/>
      <c r="K59" s="46" t="str">
        <f t="shared" si="4"/>
        <v/>
      </c>
      <c r="L59" s="41"/>
      <c r="M59" s="41"/>
    </row>
    <row r="60" spans="2:13" s="86" customFormat="1" ht="12.75" x14ac:dyDescent="0.2">
      <c r="B60" s="95"/>
      <c r="C60" s="93"/>
      <c r="D60" s="94"/>
      <c r="E60" s="90"/>
      <c r="F60" s="16"/>
      <c r="G60" s="25"/>
      <c r="J60" s="41"/>
      <c r="K60" s="46" t="str">
        <f t="shared" si="4"/>
        <v/>
      </c>
      <c r="L60" s="41"/>
      <c r="M60" s="41"/>
    </row>
    <row r="61" spans="2:13" s="86" customFormat="1" ht="12.75" x14ac:dyDescent="0.2">
      <c r="B61" s="102"/>
      <c r="C61" s="93"/>
      <c r="D61" s="92"/>
      <c r="E61" s="90"/>
      <c r="F61" s="16"/>
      <c r="G61" s="25"/>
      <c r="J61" s="41"/>
      <c r="K61" s="46" t="str">
        <f t="shared" si="4"/>
        <v/>
      </c>
      <c r="L61" s="41"/>
      <c r="M61" s="41"/>
    </row>
    <row r="62" spans="2:13" s="86" customFormat="1" ht="12.75" x14ac:dyDescent="0.2">
      <c r="B62" s="95"/>
      <c r="C62" s="93"/>
      <c r="D62" s="94"/>
      <c r="E62" s="90"/>
      <c r="F62" s="16"/>
      <c r="G62" s="25"/>
      <c r="J62" s="41"/>
      <c r="K62" s="46" t="str">
        <f t="shared" si="4"/>
        <v/>
      </c>
      <c r="L62" s="41"/>
      <c r="M62" s="41"/>
    </row>
    <row r="63" spans="2:13" s="86" customFormat="1" ht="12.75" x14ac:dyDescent="0.2">
      <c r="B63" s="102"/>
      <c r="C63" s="93"/>
      <c r="D63" s="92"/>
      <c r="E63" s="90"/>
      <c r="F63" s="16"/>
      <c r="G63" s="25" t="str">
        <f t="shared" si="3"/>
        <v/>
      </c>
      <c r="J63" s="41"/>
      <c r="K63" s="46" t="str">
        <f t="shared" si="4"/>
        <v/>
      </c>
      <c r="L63" s="41"/>
      <c r="M63" s="41"/>
    </row>
    <row r="64" spans="2:13" s="30" customFormat="1" ht="19.5" customHeight="1" x14ac:dyDescent="0.2">
      <c r="B64" s="121" t="str">
        <f>$B$11</f>
        <v>C13.8</v>
      </c>
      <c r="C64" s="32" t="s">
        <v>700</v>
      </c>
      <c r="D64" s="33"/>
      <c r="E64" s="34"/>
      <c r="F64" s="33"/>
      <c r="G64" s="352">
        <f>SUM(G10:G63)</f>
        <v>0</v>
      </c>
      <c r="H64" s="36"/>
      <c r="J64" s="41"/>
      <c r="K64" s="35">
        <f>SUM(K10:K63)</f>
        <v>0</v>
      </c>
      <c r="L64" s="41"/>
      <c r="M64" s="41"/>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801A281-3B74-4DB0-8FBF-2A95D7629605}">
            <xm:f>AND(Information!$C$8=FALSE,$D62&lt;&gt;"P C Sum",$D62&lt;&gt;"PC Sum",$D62&lt;&gt;"P Sum",$D62&lt;&gt;"Prov Sum")</xm:f>
            <x14:dxf>
              <font>
                <strike val="0"/>
                <color theme="0"/>
              </font>
              <numFmt numFmtId="4" formatCode="#,##0.00"/>
            </x14:dxf>
          </x14:cfRule>
          <xm:sqref>F62:G63</xm:sqref>
        </x14:conditionalFormatting>
        <x14:conditionalFormatting xmlns:xm="http://schemas.microsoft.com/office/excel/2006/main">
          <x14:cfRule type="expression" priority="2" id="{6D319883-7EA5-4A7B-AD43-7398B15638A7}">
            <xm:f>AND(Information!$C$8=FALSE,$D64&lt;&gt;"P C Sum",$D64&lt;&gt;"PC Sum",$D64&lt;&gt;"P Sum",$D64&lt;&gt;"Prov Sum")</xm:f>
            <x14:dxf>
              <font>
                <strike val="0"/>
                <color theme="0"/>
              </font>
              <numFmt numFmtId="4" formatCode="#,##0.00"/>
            </x14:dxf>
          </x14:cfRule>
          <xm:sqref>G64</xm:sqref>
        </x14:conditionalFormatting>
        <x14:conditionalFormatting xmlns:xm="http://schemas.microsoft.com/office/excel/2006/main">
          <x14:cfRule type="expression" priority="1" id="{B4F085AE-E8D9-4054-B1B6-DF50A57DCEF9}">
            <xm:f>AND(Information!$C$8=FALSE,$D10&lt;&gt;"P C Sum",$D10&lt;&gt;"PC Sum",$D10&lt;&gt;"P Sum",$D10&lt;&gt;"Prov Sum")</xm:f>
            <x14:dxf>
              <font>
                <strike val="0"/>
                <color theme="0"/>
              </font>
              <numFmt numFmtId="4" formatCode="#,##0.00"/>
            </x14:dxf>
          </x14:cfRule>
          <xm:sqref>F10:G61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371F-D1C0-49BE-A3D2-7C4080156DDA}">
  <sheetPr>
    <tabColor rgb="FF00B050"/>
    <pageSetUpPr fitToPage="1"/>
  </sheetPr>
  <dimension ref="B1:H50"/>
  <sheetViews>
    <sheetView workbookViewId="0">
      <selection activeCell="F14" sqref="F14:F33"/>
    </sheetView>
  </sheetViews>
  <sheetFormatPr defaultColWidth="6.85546875" defaultRowHeight="12.75" x14ac:dyDescent="0.2"/>
  <cols>
    <col min="1" max="1" width="0.85546875" style="1" customWidth="1"/>
    <col min="2" max="2" width="11.7109375" style="609" customWidth="1"/>
    <col min="3" max="3" width="45.7109375" style="3" customWidth="1"/>
    <col min="4" max="4" width="13.7109375" style="4" customWidth="1"/>
    <col min="5" max="5" width="15.7109375" style="4" customWidth="1"/>
    <col min="6" max="6" width="15.7109375" style="1" customWidth="1"/>
    <col min="7" max="7" width="15.7109375" style="5" customWidth="1"/>
    <col min="8" max="8" width="0.85546875" style="5" customWidth="1"/>
    <col min="9" max="16384" width="6.85546875" style="1"/>
  </cols>
  <sheetData>
    <row r="1" spans="2:8" x14ac:dyDescent="0.2">
      <c r="B1" s="598" t="str">
        <f>Client1</f>
        <v>Province of KwaZulu-Natal</v>
      </c>
      <c r="E1" s="703" t="str">
        <f>"Contract No. "&amp;ContractNo</f>
        <v>Contract No. ZNB02287/00000/00/MET/INF/24/T</v>
      </c>
      <c r="F1" s="703"/>
      <c r="G1" s="703"/>
    </row>
    <row r="2" spans="2:8" x14ac:dyDescent="0.2">
      <c r="B2" s="598" t="str">
        <f>Client2</f>
        <v>Department of Transport</v>
      </c>
    </row>
    <row r="3" spans="2:8" x14ac:dyDescent="0.2">
      <c r="B3" s="599"/>
      <c r="C3" s="71"/>
      <c r="D3" s="591"/>
      <c r="E3" s="591"/>
      <c r="F3" s="73"/>
      <c r="G3" s="82"/>
    </row>
    <row r="4" spans="2:8" x14ac:dyDescent="0.2">
      <c r="B4" s="698" t="s">
        <v>8</v>
      </c>
      <c r="C4" s="699"/>
      <c r="D4" s="699"/>
      <c r="E4" s="699"/>
      <c r="F4" s="699"/>
      <c r="G4" s="728" t="str">
        <f>"CHAPTER "&amp;B11</f>
        <v>CHAPTER C14.3</v>
      </c>
      <c r="H4" s="592"/>
    </row>
    <row r="5" spans="2:8" ht="7.5" customHeight="1" x14ac:dyDescent="0.2">
      <c r="B5" s="691" t="str">
        <f>ContractDescription</f>
        <v>PROVISION OF ROUTINE AND SAFETY MAINTENANCE ON MIAN ROAD P3/1 (KM 69.00 TO KM 77.96), P3/2 (KM 0.00 TO KM 11.50), P21/2(KM 0.00 TO KM 29.83 IN THE ETHEKWINI METRO - DURBAN REGION</v>
      </c>
      <c r="C5" s="692"/>
      <c r="D5" s="692"/>
      <c r="E5" s="692"/>
      <c r="F5" s="692"/>
      <c r="G5" s="729"/>
      <c r="H5" s="8"/>
    </row>
    <row r="6" spans="2:8" ht="12.75" customHeight="1" x14ac:dyDescent="0.2">
      <c r="B6" s="691"/>
      <c r="C6" s="692"/>
      <c r="D6" s="692"/>
      <c r="E6" s="692"/>
      <c r="F6" s="692"/>
      <c r="G6" s="729"/>
      <c r="H6" s="8"/>
    </row>
    <row r="7" spans="2:8" ht="7.5" customHeight="1" x14ac:dyDescent="0.2">
      <c r="B7" s="693"/>
      <c r="C7" s="694"/>
      <c r="D7" s="694"/>
      <c r="E7" s="694"/>
      <c r="F7" s="694"/>
      <c r="G7" s="730"/>
      <c r="H7" s="8"/>
    </row>
    <row r="8" spans="2:8" s="9" customFormat="1" ht="24.95" customHeight="1" x14ac:dyDescent="0.2">
      <c r="B8" s="600" t="s">
        <v>0</v>
      </c>
      <c r="C8" s="683" t="s">
        <v>1</v>
      </c>
      <c r="D8" s="531" t="s">
        <v>2</v>
      </c>
      <c r="E8" s="11" t="s">
        <v>3</v>
      </c>
      <c r="F8" s="11" t="s">
        <v>4</v>
      </c>
      <c r="G8" s="11" t="s">
        <v>5</v>
      </c>
      <c r="H8" s="593"/>
    </row>
    <row r="9" spans="2:8" s="9" customFormat="1" ht="24.95" customHeight="1" x14ac:dyDescent="0.2">
      <c r="B9" s="682" t="s">
        <v>1151</v>
      </c>
      <c r="C9" s="684" t="s">
        <v>1152</v>
      </c>
      <c r="D9" s="629"/>
      <c r="E9" s="429"/>
      <c r="F9" s="429"/>
      <c r="G9" s="429"/>
      <c r="H9" s="610"/>
    </row>
    <row r="10" spans="2:8" x14ac:dyDescent="0.2">
      <c r="B10" s="601"/>
      <c r="C10" s="14"/>
      <c r="D10" s="15"/>
      <c r="E10" s="15"/>
      <c r="F10" s="16"/>
      <c r="G10" s="602" t="str">
        <f t="shared" ref="G10:G49" si="0">IF(D10="","",E10*F10)</f>
        <v/>
      </c>
      <c r="H10" s="603"/>
    </row>
    <row r="11" spans="2:8" ht="25.5" x14ac:dyDescent="0.2">
      <c r="B11" s="604" t="s">
        <v>1139</v>
      </c>
      <c r="C11" s="20" t="s">
        <v>1140</v>
      </c>
      <c r="D11" s="22"/>
      <c r="E11" s="22"/>
      <c r="F11" s="41"/>
      <c r="G11" s="602" t="str">
        <f t="shared" si="0"/>
        <v/>
      </c>
      <c r="H11" s="605"/>
    </row>
    <row r="12" spans="2:8" x14ac:dyDescent="0.2">
      <c r="B12" s="78"/>
      <c r="C12" s="14"/>
      <c r="D12" s="22"/>
      <c r="E12" s="22"/>
      <c r="F12" s="41"/>
      <c r="G12" s="602" t="str">
        <f t="shared" si="0"/>
        <v/>
      </c>
      <c r="H12" s="605"/>
    </row>
    <row r="13" spans="2:8" ht="25.5" x14ac:dyDescent="0.2">
      <c r="B13" s="604" t="s">
        <v>1141</v>
      </c>
      <c r="C13" s="14" t="s">
        <v>1142</v>
      </c>
      <c r="D13" s="22"/>
      <c r="E13" s="22"/>
      <c r="F13" s="41"/>
      <c r="G13" s="602"/>
      <c r="H13" s="605"/>
    </row>
    <row r="14" spans="2:8" x14ac:dyDescent="0.2">
      <c r="B14" s="604"/>
      <c r="C14" s="14"/>
      <c r="D14" s="22"/>
      <c r="E14" s="22"/>
      <c r="F14" s="41"/>
      <c r="G14" s="602" t="str">
        <f t="shared" si="0"/>
        <v/>
      </c>
      <c r="H14" s="605"/>
    </row>
    <row r="15" spans="2:8" hidden="1" x14ac:dyDescent="0.2">
      <c r="B15" s="604"/>
      <c r="C15" s="14"/>
      <c r="D15" s="22"/>
      <c r="E15" s="22"/>
      <c r="F15" s="41"/>
      <c r="G15" s="602"/>
      <c r="H15" s="605"/>
    </row>
    <row r="16" spans="2:8" ht="25.5" x14ac:dyDescent="0.2">
      <c r="B16" s="604"/>
      <c r="C16" s="14" t="s">
        <v>1153</v>
      </c>
      <c r="D16" s="22" t="s">
        <v>6</v>
      </c>
      <c r="E16" s="22">
        <v>600</v>
      </c>
      <c r="F16" s="41"/>
      <c r="G16" s="618">
        <f>E16*F16</f>
        <v>0</v>
      </c>
      <c r="H16" s="605"/>
    </row>
    <row r="17" spans="2:8" ht="25.5" x14ac:dyDescent="0.2">
      <c r="B17" s="604"/>
      <c r="C17" s="14" t="s">
        <v>1154</v>
      </c>
      <c r="D17" s="22" t="s">
        <v>549</v>
      </c>
      <c r="E17" s="22">
        <v>2000</v>
      </c>
      <c r="F17" s="41"/>
      <c r="G17" s="618">
        <f>E17*F17</f>
        <v>0</v>
      </c>
      <c r="H17" s="605"/>
    </row>
    <row r="18" spans="2:8" x14ac:dyDescent="0.2">
      <c r="B18" s="604"/>
      <c r="C18" s="14"/>
      <c r="D18" s="22"/>
      <c r="E18" s="22"/>
      <c r="F18" s="606"/>
      <c r="G18" s="602"/>
      <c r="H18" s="605"/>
    </row>
    <row r="19" spans="2:8" x14ac:dyDescent="0.2">
      <c r="B19" s="604"/>
      <c r="C19" s="14"/>
      <c r="D19" s="22"/>
      <c r="E19" s="22"/>
      <c r="F19" s="606"/>
      <c r="G19" s="602" t="str">
        <f t="shared" si="0"/>
        <v/>
      </c>
      <c r="H19" s="605"/>
    </row>
    <row r="20" spans="2:8" ht="25.5" x14ac:dyDescent="0.2">
      <c r="B20" s="604" t="s">
        <v>1143</v>
      </c>
      <c r="C20" s="20" t="s">
        <v>1144</v>
      </c>
      <c r="D20" s="22"/>
      <c r="E20" s="22"/>
      <c r="F20" s="606"/>
      <c r="G20" s="602" t="s">
        <v>666</v>
      </c>
      <c r="H20" s="605"/>
    </row>
    <row r="21" spans="2:8" x14ac:dyDescent="0.2">
      <c r="B21" s="604"/>
      <c r="C21" s="20"/>
      <c r="D21" s="22"/>
      <c r="E21" s="22"/>
      <c r="F21" s="606"/>
      <c r="G21" s="602"/>
      <c r="H21" s="605"/>
    </row>
    <row r="22" spans="2:8" x14ac:dyDescent="0.2">
      <c r="B22" s="604" t="s">
        <v>1156</v>
      </c>
      <c r="C22" s="646" t="s">
        <v>1157</v>
      </c>
      <c r="D22" s="22" t="s">
        <v>390</v>
      </c>
      <c r="E22" s="22">
        <v>50</v>
      </c>
      <c r="F22" s="606"/>
      <c r="G22" s="602">
        <f>F22*E22</f>
        <v>0</v>
      </c>
      <c r="H22" s="605"/>
    </row>
    <row r="23" spans="2:8" x14ac:dyDescent="0.2">
      <c r="B23" s="604"/>
      <c r="C23" s="14"/>
      <c r="D23" s="22"/>
      <c r="E23" s="22"/>
      <c r="F23" s="606"/>
      <c r="G23" s="602" t="s">
        <v>666</v>
      </c>
      <c r="H23" s="605"/>
    </row>
    <row r="24" spans="2:8" x14ac:dyDescent="0.2">
      <c r="B24" s="604" t="s">
        <v>1145</v>
      </c>
      <c r="C24" s="14" t="s">
        <v>1146</v>
      </c>
      <c r="D24" s="22" t="s">
        <v>390</v>
      </c>
      <c r="E24" s="22">
        <v>50</v>
      </c>
      <c r="F24" s="606"/>
      <c r="G24" s="602">
        <f>E24*F24</f>
        <v>0</v>
      </c>
      <c r="H24" s="605"/>
    </row>
    <row r="25" spans="2:8" x14ac:dyDescent="0.2">
      <c r="B25" s="604"/>
      <c r="C25" s="14"/>
      <c r="D25" s="22"/>
      <c r="E25" s="22"/>
      <c r="F25" s="606"/>
      <c r="G25" s="602" t="s">
        <v>666</v>
      </c>
      <c r="H25" s="605"/>
    </row>
    <row r="26" spans="2:8" x14ac:dyDescent="0.2">
      <c r="B26" s="604"/>
      <c r="C26" s="14"/>
      <c r="D26" s="22"/>
      <c r="E26" s="22"/>
      <c r="F26" s="606"/>
      <c r="G26" s="602" t="s">
        <v>666</v>
      </c>
      <c r="H26" s="605"/>
    </row>
    <row r="27" spans="2:8" x14ac:dyDescent="0.2">
      <c r="B27" s="604"/>
      <c r="C27" s="14"/>
      <c r="D27" s="22"/>
      <c r="E27" s="22"/>
      <c r="F27" s="606"/>
      <c r="G27" s="602" t="str">
        <f t="shared" si="0"/>
        <v/>
      </c>
      <c r="H27" s="605"/>
    </row>
    <row r="28" spans="2:8" ht="25.5" x14ac:dyDescent="0.2">
      <c r="B28" s="604" t="s">
        <v>1147</v>
      </c>
      <c r="C28" s="20" t="s">
        <v>1148</v>
      </c>
      <c r="D28" s="22"/>
      <c r="E28" s="22"/>
      <c r="F28" s="606"/>
      <c r="G28" s="602" t="s">
        <v>666</v>
      </c>
      <c r="H28" s="605"/>
    </row>
    <row r="29" spans="2:8" x14ac:dyDescent="0.2">
      <c r="B29" s="604"/>
      <c r="C29" s="14"/>
      <c r="D29" s="22"/>
      <c r="E29" s="22"/>
      <c r="F29" s="606"/>
      <c r="G29" s="602" t="s">
        <v>666</v>
      </c>
      <c r="H29" s="605"/>
    </row>
    <row r="30" spans="2:8" x14ac:dyDescent="0.2">
      <c r="B30" s="604"/>
      <c r="C30" s="14"/>
      <c r="D30" s="22"/>
      <c r="E30" s="22"/>
      <c r="F30" s="606"/>
      <c r="G30" s="602" t="s">
        <v>666</v>
      </c>
      <c r="H30" s="605"/>
    </row>
    <row r="31" spans="2:8" ht="25.5" x14ac:dyDescent="0.2">
      <c r="B31" s="604" t="s">
        <v>1149</v>
      </c>
      <c r="C31" s="14" t="s">
        <v>1150</v>
      </c>
      <c r="D31" s="22" t="s">
        <v>6</v>
      </c>
      <c r="E31" s="22">
        <v>600</v>
      </c>
      <c r="F31" s="606"/>
      <c r="G31" s="618">
        <f>F31*E31</f>
        <v>0</v>
      </c>
      <c r="H31" s="605"/>
    </row>
    <row r="32" spans="2:8" ht="25.5" x14ac:dyDescent="0.2">
      <c r="B32" s="604"/>
      <c r="C32" s="14" t="s">
        <v>1158</v>
      </c>
      <c r="D32" s="22" t="s">
        <v>33</v>
      </c>
      <c r="E32" s="22">
        <v>2000</v>
      </c>
      <c r="F32" s="606"/>
      <c r="G32" s="618">
        <f>F32*E32</f>
        <v>0</v>
      </c>
      <c r="H32" s="605"/>
    </row>
    <row r="33" spans="2:8" x14ac:dyDescent="0.2">
      <c r="B33" s="601"/>
      <c r="C33" s="14"/>
      <c r="D33" s="39"/>
      <c r="E33" s="39"/>
      <c r="F33" s="606"/>
      <c r="G33" s="602" t="s">
        <v>666</v>
      </c>
    </row>
    <row r="34" spans="2:8" x14ac:dyDescent="0.2">
      <c r="B34" s="601"/>
      <c r="C34" s="14"/>
      <c r="D34" s="22"/>
      <c r="E34" s="22"/>
      <c r="F34" s="606"/>
      <c r="G34" s="602" t="str">
        <f t="shared" si="0"/>
        <v/>
      </c>
      <c r="H34" s="605"/>
    </row>
    <row r="35" spans="2:8" x14ac:dyDescent="0.2">
      <c r="B35" s="607"/>
      <c r="C35" s="14"/>
      <c r="D35" s="39"/>
      <c r="E35" s="39"/>
      <c r="F35" s="606"/>
      <c r="G35" s="602" t="str">
        <f t="shared" si="0"/>
        <v/>
      </c>
      <c r="H35" s="50"/>
    </row>
    <row r="36" spans="2:8" x14ac:dyDescent="0.2">
      <c r="B36" s="601"/>
      <c r="C36" s="14"/>
      <c r="D36" s="39"/>
      <c r="E36" s="39"/>
      <c r="F36" s="606"/>
      <c r="G36" s="602" t="str">
        <f t="shared" si="0"/>
        <v/>
      </c>
    </row>
    <row r="37" spans="2:8" x14ac:dyDescent="0.2">
      <c r="B37" s="601"/>
      <c r="C37" s="14"/>
      <c r="D37" s="22"/>
      <c r="E37" s="22"/>
      <c r="F37" s="606"/>
      <c r="G37" s="602" t="str">
        <f t="shared" si="0"/>
        <v/>
      </c>
      <c r="H37" s="605"/>
    </row>
    <row r="38" spans="2:8" x14ac:dyDescent="0.2">
      <c r="B38" s="601"/>
      <c r="C38" s="14"/>
      <c r="D38" s="22"/>
      <c r="E38" s="22"/>
      <c r="F38" s="606"/>
      <c r="G38" s="602" t="str">
        <f t="shared" si="0"/>
        <v/>
      </c>
      <c r="H38" s="605"/>
    </row>
    <row r="39" spans="2:8" x14ac:dyDescent="0.2">
      <c r="B39" s="601"/>
      <c r="C39" s="14"/>
      <c r="D39" s="22"/>
      <c r="E39" s="22"/>
      <c r="F39" s="606"/>
      <c r="G39" s="602" t="str">
        <f t="shared" si="0"/>
        <v/>
      </c>
      <c r="H39" s="605"/>
    </row>
    <row r="40" spans="2:8" x14ac:dyDescent="0.2">
      <c r="B40" s="601"/>
      <c r="C40" s="14"/>
      <c r="D40" s="22"/>
      <c r="E40" s="22"/>
      <c r="F40" s="606"/>
      <c r="G40" s="602" t="str">
        <f t="shared" si="0"/>
        <v/>
      </c>
      <c r="H40" s="605"/>
    </row>
    <row r="41" spans="2:8" x14ac:dyDescent="0.2">
      <c r="B41" s="607"/>
      <c r="C41" s="14"/>
      <c r="D41" s="22"/>
      <c r="E41" s="22"/>
      <c r="F41" s="606"/>
      <c r="G41" s="602" t="str">
        <f t="shared" si="0"/>
        <v/>
      </c>
      <c r="H41" s="605"/>
    </row>
    <row r="42" spans="2:8" x14ac:dyDescent="0.2">
      <c r="B42" s="601"/>
      <c r="C42" s="14"/>
      <c r="D42" s="22"/>
      <c r="E42" s="22"/>
      <c r="F42" s="606"/>
      <c r="G42" s="602" t="str">
        <f t="shared" si="0"/>
        <v/>
      </c>
      <c r="H42" s="605"/>
    </row>
    <row r="43" spans="2:8" x14ac:dyDescent="0.2">
      <c r="B43" s="601"/>
      <c r="C43" s="14"/>
      <c r="D43" s="22"/>
      <c r="E43" s="22"/>
      <c r="F43" s="606"/>
      <c r="G43" s="602" t="str">
        <f t="shared" si="0"/>
        <v/>
      </c>
      <c r="H43" s="605"/>
    </row>
    <row r="44" spans="2:8" x14ac:dyDescent="0.2">
      <c r="B44" s="601"/>
      <c r="C44" s="14"/>
      <c r="D44" s="22"/>
      <c r="E44" s="22"/>
      <c r="F44" s="606"/>
      <c r="G44" s="602" t="str">
        <f t="shared" si="0"/>
        <v/>
      </c>
      <c r="H44" s="605"/>
    </row>
    <row r="45" spans="2:8" x14ac:dyDescent="0.2">
      <c r="B45" s="607"/>
      <c r="C45" s="14"/>
      <c r="D45" s="22"/>
      <c r="E45" s="22"/>
      <c r="F45" s="606"/>
      <c r="G45" s="602" t="str">
        <f t="shared" si="0"/>
        <v/>
      </c>
      <c r="H45" s="605"/>
    </row>
    <row r="46" spans="2:8" x14ac:dyDescent="0.2">
      <c r="B46" s="601"/>
      <c r="C46" s="14"/>
      <c r="D46" s="22"/>
      <c r="E46" s="22"/>
      <c r="F46" s="606"/>
      <c r="G46" s="602" t="str">
        <f t="shared" si="0"/>
        <v/>
      </c>
      <c r="H46" s="605"/>
    </row>
    <row r="47" spans="2:8" x14ac:dyDescent="0.2">
      <c r="B47" s="607"/>
      <c r="C47" s="14"/>
      <c r="D47" s="22"/>
      <c r="E47" s="22"/>
      <c r="F47" s="606"/>
      <c r="G47" s="602" t="str">
        <f t="shared" si="0"/>
        <v/>
      </c>
      <c r="H47" s="605"/>
    </row>
    <row r="48" spans="2:8" x14ac:dyDescent="0.2">
      <c r="B48" s="601"/>
      <c r="C48" s="14"/>
      <c r="D48" s="22"/>
      <c r="E48" s="22"/>
      <c r="F48" s="606"/>
      <c r="G48" s="602" t="str">
        <f t="shared" si="0"/>
        <v/>
      </c>
      <c r="H48" s="605"/>
    </row>
    <row r="49" spans="2:8" x14ac:dyDescent="0.2">
      <c r="B49" s="601"/>
      <c r="C49" s="14"/>
      <c r="D49" s="22"/>
      <c r="E49" s="22"/>
      <c r="F49" s="606"/>
      <c r="G49" s="602" t="str">
        <f t="shared" si="0"/>
        <v/>
      </c>
      <c r="H49" s="605"/>
    </row>
    <row r="50" spans="2:8" s="30" customFormat="1" ht="24.95" customHeight="1" x14ac:dyDescent="0.2">
      <c r="B50" s="77" t="str">
        <f>$B$11</f>
        <v>C14.3</v>
      </c>
      <c r="C50" s="32" t="s">
        <v>312</v>
      </c>
      <c r="D50" s="33"/>
      <c r="E50" s="34"/>
      <c r="F50" s="33"/>
      <c r="G50" s="35">
        <f>SUM(G10:G49)</f>
        <v>0</v>
      </c>
      <c r="H50" s="608"/>
    </row>
  </sheetData>
  <mergeCells count="4">
    <mergeCell ref="E1:G1"/>
    <mergeCell ref="B4:F4"/>
    <mergeCell ref="G4:G7"/>
    <mergeCell ref="B5:F7"/>
  </mergeCells>
  <pageMargins left="0.7" right="0.7" top="0.75" bottom="0.75" header="0.3" footer="0.3"/>
  <pageSetup paperSize="9" scale="75" orientation="portrait" r:id="rId1"/>
  <rowBreaks count="2" manualBreakCount="2">
    <brk id="8" max="16383" man="1"/>
    <brk id="10" max="16383" man="1"/>
  </rowBreaks>
  <colBreaks count="2" manualBreakCount="2">
    <brk id="2" max="1048575" man="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E597-D7F2-4319-8497-A88A95F20266}">
  <sheetPr>
    <tabColor rgb="FF00B050"/>
  </sheetPr>
  <dimension ref="B1:M63"/>
  <sheetViews>
    <sheetView view="pageBreakPreview" topLeftCell="A28" zoomScaleNormal="125" zoomScaleSheetLayoutView="100" zoomScalePageLayoutView="125" workbookViewId="0">
      <selection activeCell="G25" sqref="G25"/>
    </sheetView>
  </sheetViews>
  <sheetFormatPr defaultColWidth="8.85546875" defaultRowHeight="12" x14ac:dyDescent="0.2"/>
  <cols>
    <col min="1" max="1" width="0.85546875" style="85" customWidth="1"/>
    <col min="2" max="2" width="11.5703125" style="89" customWidth="1"/>
    <col min="3" max="3" width="45.5703125" style="88" customWidth="1"/>
    <col min="4" max="4" width="13.5703125" style="87" customWidth="1"/>
    <col min="5" max="5" width="15.5703125" style="87" customWidth="1"/>
    <col min="6" max="6" width="15.5703125" style="85" customWidth="1"/>
    <col min="7" max="7" width="15.5703125" style="86" customWidth="1"/>
    <col min="8" max="8" width="0.85546875" style="86" customWidth="1"/>
    <col min="9" max="10" width="8.85546875" style="85"/>
    <col min="11" max="11" width="11.7109375" style="85" bestFit="1" customWidth="1"/>
    <col min="12" max="16384" width="8.85546875" style="85"/>
  </cols>
  <sheetData>
    <row r="1" spans="2:13" ht="12.75" x14ac:dyDescent="0.2">
      <c r="G1" s="166">
        <f>MAX(G9:G426)</f>
        <v>60000</v>
      </c>
    </row>
    <row r="2" spans="2:13" x14ac:dyDescent="0.2">
      <c r="B2" s="112" t="str">
        <f>Client1</f>
        <v>Province of KwaZulu-Natal</v>
      </c>
      <c r="E2" s="718" t="str">
        <f>"Contract No. "&amp;ContractNo</f>
        <v>Contract No. ZNB02287/00000/00/MET/INF/24/T</v>
      </c>
      <c r="F2" s="718"/>
      <c r="G2" s="718"/>
      <c r="J2" s="293"/>
      <c r="K2" s="293">
        <f>MAX(K3:K171)</f>
        <v>0</v>
      </c>
      <c r="L2" s="293"/>
      <c r="M2" s="294"/>
    </row>
    <row r="3" spans="2:13" ht="12.75" x14ac:dyDescent="0.2">
      <c r="B3" s="111" t="str">
        <f>Client2</f>
        <v>Department of Transport</v>
      </c>
      <c r="J3" s="1" t="s">
        <v>470</v>
      </c>
      <c r="K3" s="1" t="s">
        <v>471</v>
      </c>
      <c r="L3" s="1" t="s">
        <v>472</v>
      </c>
      <c r="M3" s="1" t="s">
        <v>473</v>
      </c>
    </row>
    <row r="4" spans="2:13" ht="12.75" x14ac:dyDescent="0.2">
      <c r="B4" s="88"/>
      <c r="J4" s="73"/>
      <c r="K4" s="73"/>
      <c r="L4" s="73"/>
      <c r="M4" s="73"/>
    </row>
    <row r="5" spans="2:13" ht="12.75" customHeight="1" x14ac:dyDescent="0.2">
      <c r="B5" s="722" t="s">
        <v>8</v>
      </c>
      <c r="C5" s="723"/>
      <c r="D5" s="723"/>
      <c r="E5" s="723"/>
      <c r="F5" s="723"/>
      <c r="G5" s="719" t="str">
        <f>"CHAPTER "&amp;B11</f>
        <v>CHAPTER C20.1</v>
      </c>
      <c r="H5" s="113"/>
      <c r="J5" s="1"/>
      <c r="K5" s="1"/>
      <c r="L5" s="1"/>
      <c r="M5" s="1"/>
    </row>
    <row r="6" spans="2:13" ht="7.5" customHeight="1" x14ac:dyDescent="0.2">
      <c r="B6" s="724" t="str">
        <f>ContractDescription</f>
        <v>PROVISION OF ROUTINE AND SAFETY MAINTENANCE ON MIAN ROAD P3/1 (KM 69.00 TO KM 77.96), P3/2 (KM 0.00 TO KM 11.50), P21/2(KM 0.00 TO KM 29.83 IN THE ETHEKWINI METRO - DURBAN REGION</v>
      </c>
      <c r="C6" s="725"/>
      <c r="D6" s="725"/>
      <c r="E6" s="725"/>
      <c r="F6" s="725"/>
      <c r="G6" s="720"/>
      <c r="H6" s="110"/>
      <c r="J6" s="1"/>
      <c r="K6" s="1"/>
      <c r="L6" s="1"/>
      <c r="M6" s="1"/>
    </row>
    <row r="7" spans="2:13" ht="12.75" customHeight="1" x14ac:dyDescent="0.2">
      <c r="B7" s="724"/>
      <c r="C7" s="725"/>
      <c r="D7" s="725"/>
      <c r="E7" s="725"/>
      <c r="F7" s="725"/>
      <c r="G7" s="720"/>
      <c r="H7" s="110"/>
      <c r="J7" s="1"/>
      <c r="K7" s="1"/>
      <c r="L7" s="1"/>
      <c r="M7" s="1"/>
    </row>
    <row r="8" spans="2:13" s="108" customFormat="1" ht="7.5" customHeight="1" x14ac:dyDescent="0.2">
      <c r="B8" s="726"/>
      <c r="C8" s="727"/>
      <c r="D8" s="727"/>
      <c r="E8" s="727"/>
      <c r="F8" s="727"/>
      <c r="G8" s="721"/>
      <c r="H8" s="109"/>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ht="12.75" x14ac:dyDescent="0.2">
      <c r="B10" s="95"/>
      <c r="C10" s="93"/>
      <c r="D10" s="92"/>
      <c r="E10" s="92"/>
      <c r="F10" s="16"/>
      <c r="G10" s="25"/>
      <c r="H10" s="103"/>
      <c r="J10" s="16"/>
      <c r="K10" s="16"/>
      <c r="L10" s="16"/>
      <c r="M10" s="16"/>
    </row>
    <row r="11" spans="2:13" ht="25.5" x14ac:dyDescent="0.2">
      <c r="B11" s="47" t="s">
        <v>1056</v>
      </c>
      <c r="C11" s="7" t="s">
        <v>1057</v>
      </c>
      <c r="D11" s="92"/>
      <c r="E11" s="561"/>
      <c r="F11" s="16"/>
      <c r="G11" s="25" t="str">
        <f t="shared" ref="G11:G30" si="0">IF(D11="","",E11*F11)</f>
        <v/>
      </c>
      <c r="H11" s="103"/>
      <c r="J11" s="41"/>
      <c r="K11" s="41"/>
      <c r="L11" s="41"/>
      <c r="M11" s="41"/>
    </row>
    <row r="12" spans="2:13" ht="12.75" x14ac:dyDescent="0.2">
      <c r="B12" s="95"/>
      <c r="C12" s="562"/>
      <c r="D12" s="92"/>
      <c r="E12" s="561"/>
      <c r="F12" s="16"/>
      <c r="G12" s="25" t="str">
        <f t="shared" si="0"/>
        <v/>
      </c>
      <c r="H12" s="103"/>
      <c r="J12" s="41"/>
      <c r="K12" s="41"/>
      <c r="L12" s="41"/>
      <c r="M12" s="41"/>
    </row>
    <row r="13" spans="2:13" ht="12.75" x14ac:dyDescent="0.2">
      <c r="B13" s="20" t="s">
        <v>1058</v>
      </c>
      <c r="C13" s="7" t="s">
        <v>1059</v>
      </c>
      <c r="D13" s="568"/>
      <c r="E13" s="563"/>
      <c r="F13" s="16"/>
      <c r="G13" s="25" t="str">
        <f t="shared" si="0"/>
        <v/>
      </c>
      <c r="H13" s="103"/>
      <c r="J13" s="41"/>
      <c r="K13" s="46" t="str">
        <f t="shared" ref="K13:K62" si="1">IF(J13="","",J13*E13)</f>
        <v/>
      </c>
      <c r="L13" s="41"/>
      <c r="M13" s="41"/>
    </row>
    <row r="14" spans="2:13" ht="12.75" x14ac:dyDescent="0.2">
      <c r="B14" s="567"/>
      <c r="C14" s="564"/>
      <c r="D14" s="568"/>
      <c r="E14" s="563"/>
      <c r="F14" s="16"/>
      <c r="G14" s="25" t="str">
        <f t="shared" si="0"/>
        <v/>
      </c>
      <c r="H14" s="103"/>
      <c r="J14" s="41"/>
      <c r="K14" s="46" t="str">
        <f t="shared" si="1"/>
        <v/>
      </c>
      <c r="L14" s="41"/>
      <c r="M14" s="41"/>
    </row>
    <row r="15" spans="2:13" ht="12.75" x14ac:dyDescent="0.2">
      <c r="B15" s="567" t="s">
        <v>1060</v>
      </c>
      <c r="C15" s="564" t="s">
        <v>1061</v>
      </c>
      <c r="D15" s="568"/>
      <c r="E15" s="563"/>
      <c r="F15" s="16"/>
      <c r="G15" s="25" t="str">
        <f t="shared" si="0"/>
        <v/>
      </c>
      <c r="H15" s="107"/>
      <c r="J15" s="41"/>
      <c r="K15" s="46" t="str">
        <f t="shared" si="1"/>
        <v/>
      </c>
      <c r="L15" s="41"/>
      <c r="M15" s="41"/>
    </row>
    <row r="16" spans="2:13" ht="12.75" x14ac:dyDescent="0.2">
      <c r="B16" s="567"/>
      <c r="C16" s="564"/>
      <c r="D16" s="568"/>
      <c r="E16" s="563"/>
      <c r="F16" s="16"/>
      <c r="G16" s="25"/>
      <c r="H16" s="107"/>
      <c r="J16" s="41"/>
      <c r="K16" s="46"/>
      <c r="L16" s="41"/>
      <c r="M16" s="41"/>
    </row>
    <row r="17" spans="2:13" ht="12.75" x14ac:dyDescent="0.2">
      <c r="B17" s="567"/>
      <c r="C17" s="564" t="s">
        <v>1062</v>
      </c>
      <c r="D17" s="568" t="s">
        <v>1063</v>
      </c>
      <c r="E17" s="563">
        <v>1</v>
      </c>
      <c r="F17" s="16">
        <v>60000</v>
      </c>
      <c r="G17" s="25">
        <f t="shared" si="0"/>
        <v>60000</v>
      </c>
      <c r="H17" s="103"/>
      <c r="J17" s="41"/>
      <c r="K17" s="46" t="str">
        <f t="shared" si="1"/>
        <v/>
      </c>
      <c r="L17" s="41"/>
      <c r="M17" s="41"/>
    </row>
    <row r="18" spans="2:13" ht="12.75" x14ac:dyDescent="0.2">
      <c r="B18" s="567"/>
      <c r="C18" s="564"/>
      <c r="D18" s="568"/>
      <c r="E18" s="563"/>
      <c r="F18" s="16"/>
      <c r="G18" s="25"/>
      <c r="H18" s="103"/>
      <c r="J18" s="41"/>
      <c r="K18" s="46"/>
      <c r="L18" s="41"/>
      <c r="M18" s="41"/>
    </row>
    <row r="19" spans="2:13" ht="25.5" x14ac:dyDescent="0.2">
      <c r="B19" s="567"/>
      <c r="C19" s="564" t="s">
        <v>1064</v>
      </c>
      <c r="D19" s="568" t="s">
        <v>25</v>
      </c>
      <c r="E19" s="565">
        <v>60000</v>
      </c>
      <c r="F19" s="16"/>
      <c r="G19" s="25"/>
      <c r="H19" s="103"/>
      <c r="J19" s="41"/>
      <c r="K19" s="46" t="str">
        <f t="shared" si="1"/>
        <v/>
      </c>
      <c r="L19" s="41"/>
      <c r="M19" s="41"/>
    </row>
    <row r="20" spans="2:13" ht="12.75" x14ac:dyDescent="0.2">
      <c r="B20" s="95"/>
      <c r="C20" s="562"/>
      <c r="D20" s="94"/>
      <c r="E20" s="566"/>
      <c r="F20" s="16"/>
      <c r="G20" s="25" t="str">
        <f t="shared" si="0"/>
        <v/>
      </c>
      <c r="H20" s="103"/>
      <c r="J20" s="41"/>
      <c r="K20" s="46" t="str">
        <f t="shared" si="1"/>
        <v/>
      </c>
      <c r="L20" s="41"/>
      <c r="M20" s="41"/>
    </row>
    <row r="21" spans="2:13" ht="12.75" x14ac:dyDescent="0.2">
      <c r="B21" s="102"/>
      <c r="C21" s="562"/>
      <c r="D21" s="92"/>
      <c r="E21" s="566"/>
      <c r="F21" s="16"/>
      <c r="G21" s="25" t="str">
        <f t="shared" si="0"/>
        <v/>
      </c>
      <c r="H21" s="103"/>
      <c r="J21" s="41"/>
      <c r="K21" s="46" t="str">
        <f t="shared" si="1"/>
        <v/>
      </c>
      <c r="L21" s="41"/>
      <c r="M21" s="41"/>
    </row>
    <row r="22" spans="2:13" ht="12.75" x14ac:dyDescent="0.2">
      <c r="B22" s="95"/>
      <c r="C22" s="562"/>
      <c r="D22" s="94"/>
      <c r="E22" s="566"/>
      <c r="F22" s="16"/>
      <c r="G22" s="25" t="str">
        <f t="shared" si="0"/>
        <v/>
      </c>
      <c r="H22" s="106"/>
      <c r="J22" s="41"/>
      <c r="K22" s="46" t="str">
        <f t="shared" si="1"/>
        <v/>
      </c>
      <c r="L22" s="41"/>
      <c r="M22" s="41"/>
    </row>
    <row r="23" spans="2:13" ht="12.75" x14ac:dyDescent="0.2">
      <c r="B23" s="102"/>
      <c r="C23" s="562"/>
      <c r="D23" s="92"/>
      <c r="E23" s="566"/>
      <c r="F23" s="16"/>
      <c r="G23" s="25" t="str">
        <f t="shared" si="0"/>
        <v/>
      </c>
      <c r="H23" s="103"/>
      <c r="J23" s="41"/>
      <c r="K23" s="46" t="str">
        <f t="shared" si="1"/>
        <v/>
      </c>
      <c r="L23" s="41"/>
      <c r="M23" s="41"/>
    </row>
    <row r="24" spans="2:13" ht="12.75" x14ac:dyDescent="0.2">
      <c r="B24" s="101"/>
      <c r="C24" s="562"/>
      <c r="D24" s="94"/>
      <c r="E24" s="561"/>
      <c r="F24" s="16"/>
      <c r="G24" s="25" t="str">
        <f t="shared" si="0"/>
        <v/>
      </c>
      <c r="H24" s="103"/>
      <c r="J24" s="41"/>
      <c r="K24" s="46" t="str">
        <f t="shared" si="1"/>
        <v/>
      </c>
      <c r="L24" s="41"/>
      <c r="M24" s="41"/>
    </row>
    <row r="25" spans="2:13" ht="12.75" x14ac:dyDescent="0.2">
      <c r="B25" s="102"/>
      <c r="C25" s="562"/>
      <c r="D25" s="92"/>
      <c r="E25" s="561"/>
      <c r="F25" s="16"/>
      <c r="G25" s="25" t="str">
        <f t="shared" si="0"/>
        <v/>
      </c>
      <c r="H25" s="103"/>
      <c r="J25" s="41"/>
      <c r="K25" s="46" t="str">
        <f t="shared" si="1"/>
        <v/>
      </c>
      <c r="L25" s="41"/>
      <c r="M25" s="41"/>
    </row>
    <row r="26" spans="2:13" ht="12.75" x14ac:dyDescent="0.2">
      <c r="B26" s="102"/>
      <c r="C26" s="562"/>
      <c r="D26" s="94"/>
      <c r="E26" s="561"/>
      <c r="F26" s="16"/>
      <c r="G26" s="25" t="str">
        <f t="shared" si="0"/>
        <v/>
      </c>
      <c r="J26" s="41"/>
      <c r="K26" s="46" t="str">
        <f t="shared" si="1"/>
        <v/>
      </c>
      <c r="L26" s="41"/>
      <c r="M26" s="41"/>
    </row>
    <row r="27" spans="2:13" ht="12.75" x14ac:dyDescent="0.2">
      <c r="B27" s="102"/>
      <c r="C27" s="126"/>
      <c r="D27" s="92"/>
      <c r="E27" s="90"/>
      <c r="F27" s="16"/>
      <c r="G27" s="25" t="str">
        <f t="shared" si="0"/>
        <v/>
      </c>
      <c r="J27" s="41"/>
      <c r="K27" s="46" t="str">
        <f t="shared" si="1"/>
        <v/>
      </c>
      <c r="L27" s="41"/>
      <c r="M27" s="41"/>
    </row>
    <row r="28" spans="2:13" ht="12.75" x14ac:dyDescent="0.2">
      <c r="B28" s="102"/>
      <c r="C28" s="93"/>
      <c r="D28" s="94"/>
      <c r="E28" s="90"/>
      <c r="F28" s="16"/>
      <c r="G28" s="25" t="str">
        <f t="shared" si="0"/>
        <v/>
      </c>
      <c r="J28" s="346"/>
      <c r="K28" s="46" t="str">
        <f t="shared" si="1"/>
        <v/>
      </c>
      <c r="L28" s="41"/>
      <c r="M28" s="41"/>
    </row>
    <row r="29" spans="2:13" ht="12.75" x14ac:dyDescent="0.2">
      <c r="B29" s="102"/>
      <c r="C29" s="93"/>
      <c r="D29" s="92"/>
      <c r="E29" s="90"/>
      <c r="F29" s="16"/>
      <c r="G29" s="25" t="str">
        <f t="shared" si="0"/>
        <v/>
      </c>
      <c r="J29" s="41"/>
      <c r="K29" s="46" t="str">
        <f t="shared" si="1"/>
        <v/>
      </c>
      <c r="L29" s="41"/>
      <c r="M29" s="41"/>
    </row>
    <row r="30" spans="2:13" ht="12.75" x14ac:dyDescent="0.2">
      <c r="B30" s="95"/>
      <c r="C30" s="96"/>
      <c r="D30" s="94"/>
      <c r="E30" s="90"/>
      <c r="F30" s="16"/>
      <c r="G30" s="25" t="str">
        <f t="shared" si="0"/>
        <v/>
      </c>
      <c r="J30" s="41"/>
      <c r="K30" s="46" t="str">
        <f t="shared" si="1"/>
        <v/>
      </c>
      <c r="L30" s="41"/>
      <c r="M30" s="41"/>
    </row>
    <row r="31" spans="2:13" s="86" customFormat="1" ht="12.75" x14ac:dyDescent="0.2">
      <c r="B31" s="95"/>
      <c r="C31" s="93"/>
      <c r="D31" s="94"/>
      <c r="E31" s="90"/>
      <c r="F31" s="16"/>
      <c r="G31" s="25"/>
      <c r="J31" s="41"/>
      <c r="K31" s="46" t="str">
        <f t="shared" si="1"/>
        <v/>
      </c>
      <c r="L31" s="41"/>
      <c r="M31" s="41"/>
    </row>
    <row r="32" spans="2:13" s="86" customFormat="1" ht="12.75" x14ac:dyDescent="0.2">
      <c r="B32" s="102"/>
      <c r="C32" s="93"/>
      <c r="D32" s="94"/>
      <c r="E32" s="90"/>
      <c r="F32" s="16"/>
      <c r="G32" s="25" t="str">
        <f t="shared" ref="G32:G62" si="2">IF(D32="","",E32*F32)</f>
        <v/>
      </c>
      <c r="J32" s="346"/>
      <c r="K32" s="46" t="str">
        <f t="shared" si="1"/>
        <v/>
      </c>
      <c r="L32" s="41"/>
      <c r="M32" s="41"/>
    </row>
    <row r="33" spans="2:13" s="86" customFormat="1" ht="12.75" x14ac:dyDescent="0.2">
      <c r="B33" s="102"/>
      <c r="C33" s="93"/>
      <c r="D33" s="92"/>
      <c r="E33" s="90"/>
      <c r="F33" s="16"/>
      <c r="G33" s="25" t="str">
        <f t="shared" si="2"/>
        <v/>
      </c>
      <c r="J33" s="41"/>
      <c r="K33" s="46" t="str">
        <f t="shared" si="1"/>
        <v/>
      </c>
      <c r="L33" s="41"/>
      <c r="M33" s="41"/>
    </row>
    <row r="34" spans="2:13" s="86" customFormat="1" ht="12.75" x14ac:dyDescent="0.2">
      <c r="B34" s="95"/>
      <c r="C34" s="93"/>
      <c r="D34" s="94"/>
      <c r="E34" s="90"/>
      <c r="F34" s="16"/>
      <c r="G34" s="25" t="str">
        <f t="shared" si="2"/>
        <v/>
      </c>
      <c r="J34" s="346"/>
      <c r="K34" s="46" t="str">
        <f t="shared" si="1"/>
        <v/>
      </c>
      <c r="L34" s="41"/>
      <c r="M34" s="41"/>
    </row>
    <row r="35" spans="2:13" s="86" customFormat="1" ht="12.75" x14ac:dyDescent="0.2">
      <c r="B35" s="102"/>
      <c r="C35" s="93"/>
      <c r="D35" s="92"/>
      <c r="E35" s="90"/>
      <c r="F35" s="16"/>
      <c r="G35" s="25" t="str">
        <f t="shared" si="2"/>
        <v/>
      </c>
      <c r="J35" s="41"/>
      <c r="K35" s="46" t="str">
        <f t="shared" si="1"/>
        <v/>
      </c>
      <c r="L35" s="41"/>
      <c r="M35" s="41"/>
    </row>
    <row r="36" spans="2:13" s="86" customFormat="1" ht="12.75" x14ac:dyDescent="0.2">
      <c r="B36" s="95"/>
      <c r="C36" s="93"/>
      <c r="D36" s="94"/>
      <c r="E36" s="90"/>
      <c r="F36" s="16"/>
      <c r="G36" s="25" t="str">
        <f t="shared" si="2"/>
        <v/>
      </c>
      <c r="J36" s="346"/>
      <c r="K36" s="46" t="str">
        <f t="shared" si="1"/>
        <v/>
      </c>
      <c r="L36" s="41"/>
      <c r="M36" s="41"/>
    </row>
    <row r="37" spans="2:13" s="86" customFormat="1" ht="12.75" x14ac:dyDescent="0.2">
      <c r="B37" s="95"/>
      <c r="C37" s="93"/>
      <c r="D37" s="94"/>
      <c r="E37" s="90"/>
      <c r="F37" s="16"/>
      <c r="G37" s="25" t="str">
        <f t="shared" si="2"/>
        <v/>
      </c>
      <c r="J37" s="41"/>
      <c r="K37" s="46" t="str">
        <f t="shared" si="1"/>
        <v/>
      </c>
      <c r="L37" s="41"/>
      <c r="M37" s="41"/>
    </row>
    <row r="38" spans="2:13" s="86" customFormat="1" ht="12.75" x14ac:dyDescent="0.2">
      <c r="B38" s="95"/>
      <c r="C38" s="93"/>
      <c r="D38" s="94"/>
      <c r="E38" s="90"/>
      <c r="F38" s="16"/>
      <c r="G38" s="25" t="str">
        <f t="shared" si="2"/>
        <v/>
      </c>
      <c r="J38" s="41"/>
      <c r="K38" s="46" t="str">
        <f t="shared" si="1"/>
        <v/>
      </c>
      <c r="L38" s="41"/>
      <c r="M38" s="41"/>
    </row>
    <row r="39" spans="2:13" s="86" customFormat="1" ht="12.75" x14ac:dyDescent="0.2">
      <c r="B39" s="95"/>
      <c r="C39" s="93"/>
      <c r="D39" s="94"/>
      <c r="E39" s="90"/>
      <c r="F39" s="16"/>
      <c r="G39" s="25" t="str">
        <f t="shared" si="2"/>
        <v/>
      </c>
      <c r="J39" s="41"/>
      <c r="K39" s="46" t="str">
        <f t="shared" si="1"/>
        <v/>
      </c>
      <c r="L39" s="41"/>
      <c r="M39" s="41"/>
    </row>
    <row r="40" spans="2:13" s="86" customFormat="1" ht="12.75" x14ac:dyDescent="0.2">
      <c r="B40" s="101"/>
      <c r="C40" s="93"/>
      <c r="D40" s="94"/>
      <c r="E40" s="90"/>
      <c r="F40" s="16"/>
      <c r="G40" s="25" t="str">
        <f t="shared" si="2"/>
        <v/>
      </c>
      <c r="J40" s="41"/>
      <c r="K40" s="46" t="str">
        <f t="shared" si="1"/>
        <v/>
      </c>
      <c r="L40" s="41"/>
      <c r="M40" s="41"/>
    </row>
    <row r="41" spans="2:13" s="86" customFormat="1" ht="12.75" x14ac:dyDescent="0.2">
      <c r="B41" s="102"/>
      <c r="C41" s="93"/>
      <c r="D41" s="92"/>
      <c r="E41" s="90"/>
      <c r="F41" s="16"/>
      <c r="G41" s="25" t="str">
        <f t="shared" si="2"/>
        <v/>
      </c>
      <c r="J41" s="41"/>
      <c r="K41" s="46" t="str">
        <f t="shared" si="1"/>
        <v/>
      </c>
      <c r="L41" s="41"/>
      <c r="M41" s="41"/>
    </row>
    <row r="42" spans="2:13" s="86" customFormat="1" ht="12.75" x14ac:dyDescent="0.2">
      <c r="B42" s="95"/>
      <c r="C42" s="96"/>
      <c r="D42" s="91"/>
      <c r="E42" s="90"/>
      <c r="F42" s="16"/>
      <c r="G42" s="25" t="str">
        <f t="shared" si="2"/>
        <v/>
      </c>
      <c r="J42" s="41"/>
      <c r="K42" s="46" t="str">
        <f t="shared" si="1"/>
        <v/>
      </c>
      <c r="L42" s="41"/>
      <c r="M42" s="41"/>
    </row>
    <row r="43" spans="2:13" s="86" customFormat="1" ht="12.75" x14ac:dyDescent="0.2">
      <c r="B43" s="102"/>
      <c r="C43" s="100"/>
      <c r="D43" s="91"/>
      <c r="E43" s="90"/>
      <c r="F43" s="16"/>
      <c r="G43" s="25" t="str">
        <f t="shared" si="2"/>
        <v/>
      </c>
      <c r="J43" s="41"/>
      <c r="K43" s="46" t="str">
        <f t="shared" si="1"/>
        <v/>
      </c>
      <c r="L43" s="41"/>
      <c r="M43" s="41"/>
    </row>
    <row r="44" spans="2:13" s="86" customFormat="1" ht="12.75" x14ac:dyDescent="0.2">
      <c r="B44" s="102"/>
      <c r="C44" s="93"/>
      <c r="D44" s="94"/>
      <c r="E44" s="90"/>
      <c r="F44" s="16"/>
      <c r="G44" s="25" t="str">
        <f t="shared" si="2"/>
        <v/>
      </c>
      <c r="J44" s="41"/>
      <c r="K44" s="46" t="str">
        <f t="shared" si="1"/>
        <v/>
      </c>
      <c r="L44" s="41"/>
      <c r="M44" s="41"/>
    </row>
    <row r="45" spans="2:13" s="86" customFormat="1" ht="12.75" x14ac:dyDescent="0.2">
      <c r="B45" s="102"/>
      <c r="C45" s="100"/>
      <c r="D45" s="91"/>
      <c r="E45" s="90"/>
      <c r="F45" s="16"/>
      <c r="G45" s="25" t="str">
        <f t="shared" si="2"/>
        <v/>
      </c>
      <c r="J45" s="41"/>
      <c r="K45" s="46" t="str">
        <f t="shared" si="1"/>
        <v/>
      </c>
      <c r="L45" s="41"/>
      <c r="M45" s="41"/>
    </row>
    <row r="46" spans="2:13" s="86" customFormat="1" ht="12.75" x14ac:dyDescent="0.2">
      <c r="B46" s="95"/>
      <c r="C46" s="96"/>
      <c r="D46" s="91"/>
      <c r="E46" s="90"/>
      <c r="F46" s="16"/>
      <c r="G46" s="25" t="str">
        <f t="shared" si="2"/>
        <v/>
      </c>
      <c r="J46" s="41"/>
      <c r="K46" s="46" t="str">
        <f t="shared" si="1"/>
        <v/>
      </c>
      <c r="L46" s="41"/>
      <c r="M46" s="41"/>
    </row>
    <row r="47" spans="2:13" s="86" customFormat="1" ht="12.75" x14ac:dyDescent="0.2">
      <c r="B47" s="102"/>
      <c r="C47" s="100"/>
      <c r="D47" s="91"/>
      <c r="E47" s="90"/>
      <c r="F47" s="16"/>
      <c r="G47" s="25" t="str">
        <f t="shared" si="2"/>
        <v/>
      </c>
      <c r="J47" s="41"/>
      <c r="K47" s="46" t="str">
        <f t="shared" si="1"/>
        <v/>
      </c>
      <c r="L47" s="41"/>
      <c r="M47" s="41"/>
    </row>
    <row r="48" spans="2:13" s="86" customFormat="1" ht="12.75" x14ac:dyDescent="0.2">
      <c r="B48" s="102"/>
      <c r="C48" s="93"/>
      <c r="D48" s="94"/>
      <c r="E48" s="90"/>
      <c r="F48" s="16"/>
      <c r="G48" s="25" t="str">
        <f t="shared" si="2"/>
        <v/>
      </c>
      <c r="J48" s="346">
        <f>F48*15%</f>
        <v>0</v>
      </c>
      <c r="K48" s="46">
        <f t="shared" si="1"/>
        <v>0</v>
      </c>
      <c r="L48" s="41"/>
      <c r="M48" s="41"/>
    </row>
    <row r="49" spans="2:13" s="86" customFormat="1" ht="12.75" x14ac:dyDescent="0.2">
      <c r="B49" s="95"/>
      <c r="C49" s="93"/>
      <c r="D49" s="92"/>
      <c r="E49" s="90"/>
      <c r="F49" s="16"/>
      <c r="G49" s="25" t="str">
        <f t="shared" si="2"/>
        <v/>
      </c>
      <c r="J49" s="41"/>
      <c r="K49" s="46" t="str">
        <f t="shared" si="1"/>
        <v/>
      </c>
      <c r="L49" s="41"/>
      <c r="M49" s="41"/>
    </row>
    <row r="50" spans="2:13" s="86" customFormat="1" ht="12.75" x14ac:dyDescent="0.2">
      <c r="B50" s="102"/>
      <c r="C50" s="93"/>
      <c r="D50" s="94"/>
      <c r="E50" s="90"/>
      <c r="F50" s="16"/>
      <c r="G50" s="25" t="str">
        <f t="shared" si="2"/>
        <v/>
      </c>
      <c r="J50" s="346">
        <f>F50*40%</f>
        <v>0</v>
      </c>
      <c r="K50" s="46">
        <f t="shared" si="1"/>
        <v>0</v>
      </c>
      <c r="L50" s="41"/>
      <c r="M50" s="41"/>
    </row>
    <row r="51" spans="2:13" s="86" customFormat="1" ht="12.75" x14ac:dyDescent="0.2">
      <c r="B51" s="95"/>
      <c r="C51" s="93"/>
      <c r="D51" s="94"/>
      <c r="E51" s="90"/>
      <c r="F51" s="16"/>
      <c r="G51" s="25" t="str">
        <f t="shared" si="2"/>
        <v/>
      </c>
      <c r="J51" s="41"/>
      <c r="K51" s="46" t="str">
        <f t="shared" si="1"/>
        <v/>
      </c>
      <c r="L51" s="41"/>
      <c r="M51" s="41"/>
    </row>
    <row r="52" spans="2:13" s="86" customFormat="1" ht="12.75" x14ac:dyDescent="0.2">
      <c r="B52" s="95"/>
      <c r="C52" s="93"/>
      <c r="D52" s="94"/>
      <c r="E52" s="90"/>
      <c r="F52" s="16"/>
      <c r="G52" s="25" t="str">
        <f t="shared" si="2"/>
        <v/>
      </c>
      <c r="J52" s="41"/>
      <c r="K52" s="46" t="str">
        <f t="shared" si="1"/>
        <v/>
      </c>
      <c r="L52" s="41"/>
      <c r="M52" s="41"/>
    </row>
    <row r="53" spans="2:13" s="86" customFormat="1" ht="12.75" x14ac:dyDescent="0.2">
      <c r="B53" s="95"/>
      <c r="C53" s="93"/>
      <c r="D53" s="94"/>
      <c r="E53" s="90"/>
      <c r="F53" s="16"/>
      <c r="G53" s="25" t="str">
        <f t="shared" si="2"/>
        <v/>
      </c>
      <c r="J53" s="41"/>
      <c r="K53" s="46" t="str">
        <f t="shared" si="1"/>
        <v/>
      </c>
      <c r="L53" s="41"/>
      <c r="M53" s="41"/>
    </row>
    <row r="54" spans="2:13" s="86" customFormat="1" ht="12.75" x14ac:dyDescent="0.2">
      <c r="B54" s="95"/>
      <c r="C54" s="93"/>
      <c r="D54" s="94"/>
      <c r="E54" s="90"/>
      <c r="F54" s="16"/>
      <c r="G54" s="25" t="str">
        <f t="shared" si="2"/>
        <v/>
      </c>
      <c r="J54" s="41"/>
      <c r="K54" s="46" t="str">
        <f t="shared" si="1"/>
        <v/>
      </c>
      <c r="L54" s="41"/>
      <c r="M54" s="41"/>
    </row>
    <row r="55" spans="2:13" s="86" customFormat="1" ht="12.75" x14ac:dyDescent="0.2">
      <c r="B55" s="95"/>
      <c r="C55" s="93"/>
      <c r="D55" s="94"/>
      <c r="E55" s="90"/>
      <c r="F55" s="16"/>
      <c r="G55" s="25" t="str">
        <f t="shared" si="2"/>
        <v/>
      </c>
      <c r="J55" s="41"/>
      <c r="K55" s="46" t="str">
        <f t="shared" si="1"/>
        <v/>
      </c>
      <c r="L55" s="41"/>
      <c r="M55" s="41"/>
    </row>
    <row r="56" spans="2:13" s="86" customFormat="1" ht="12.75" x14ac:dyDescent="0.2">
      <c r="B56" s="95"/>
      <c r="C56" s="93"/>
      <c r="D56" s="94"/>
      <c r="E56" s="90"/>
      <c r="F56" s="16"/>
      <c r="G56" s="25" t="str">
        <f t="shared" si="2"/>
        <v/>
      </c>
      <c r="J56" s="41"/>
      <c r="K56" s="46" t="str">
        <f t="shared" si="1"/>
        <v/>
      </c>
      <c r="L56" s="41"/>
      <c r="M56" s="41"/>
    </row>
    <row r="57" spans="2:13" s="86" customFormat="1" ht="12.75" x14ac:dyDescent="0.2">
      <c r="B57" s="95"/>
      <c r="C57" s="93"/>
      <c r="D57" s="94"/>
      <c r="E57" s="90"/>
      <c r="F57" s="16"/>
      <c r="G57" s="25" t="str">
        <f t="shared" si="2"/>
        <v/>
      </c>
      <c r="J57" s="41"/>
      <c r="K57" s="46" t="str">
        <f t="shared" si="1"/>
        <v/>
      </c>
      <c r="L57" s="41"/>
      <c r="M57" s="41"/>
    </row>
    <row r="58" spans="2:13" s="86" customFormat="1" ht="12.75" x14ac:dyDescent="0.2">
      <c r="B58" s="102"/>
      <c r="C58" s="93"/>
      <c r="D58" s="92"/>
      <c r="E58" s="90"/>
      <c r="F58" s="16"/>
      <c r="G58" s="25"/>
      <c r="J58" s="41"/>
      <c r="K58" s="46" t="str">
        <f t="shared" si="1"/>
        <v/>
      </c>
      <c r="L58" s="41"/>
      <c r="M58" s="41"/>
    </row>
    <row r="59" spans="2:13" s="86" customFormat="1" ht="12.75" x14ac:dyDescent="0.2">
      <c r="B59" s="95"/>
      <c r="C59" s="93"/>
      <c r="D59" s="94"/>
      <c r="E59" s="90"/>
      <c r="F59" s="16"/>
      <c r="G59" s="25"/>
      <c r="J59" s="41"/>
      <c r="K59" s="46" t="str">
        <f t="shared" si="1"/>
        <v/>
      </c>
      <c r="L59" s="41"/>
      <c r="M59" s="41"/>
    </row>
    <row r="60" spans="2:13" s="86" customFormat="1" ht="12.75" x14ac:dyDescent="0.2">
      <c r="B60" s="102"/>
      <c r="C60" s="93"/>
      <c r="D60" s="92"/>
      <c r="E60" s="90"/>
      <c r="F60" s="16"/>
      <c r="G60" s="25"/>
      <c r="J60" s="41"/>
      <c r="K60" s="46" t="str">
        <f t="shared" si="1"/>
        <v/>
      </c>
      <c r="L60" s="41"/>
      <c r="M60" s="41"/>
    </row>
    <row r="61" spans="2:13" s="86" customFormat="1" ht="12.75" x14ac:dyDescent="0.2">
      <c r="B61" s="95"/>
      <c r="C61" s="93"/>
      <c r="D61" s="94"/>
      <c r="E61" s="90"/>
      <c r="F61" s="16"/>
      <c r="G61" s="25"/>
      <c r="J61" s="41"/>
      <c r="K61" s="46" t="str">
        <f t="shared" si="1"/>
        <v/>
      </c>
      <c r="L61" s="41"/>
      <c r="M61" s="41"/>
    </row>
    <row r="62" spans="2:13" s="86" customFormat="1" ht="12.75" x14ac:dyDescent="0.2">
      <c r="B62" s="102"/>
      <c r="C62" s="93"/>
      <c r="D62" s="92"/>
      <c r="E62" s="90"/>
      <c r="F62" s="16"/>
      <c r="G62" s="25" t="str">
        <f t="shared" si="2"/>
        <v/>
      </c>
      <c r="J62" s="41"/>
      <c r="K62" s="46" t="str">
        <f t="shared" si="1"/>
        <v/>
      </c>
      <c r="L62" s="41"/>
      <c r="M62" s="41"/>
    </row>
    <row r="63" spans="2:13" s="30" customFormat="1" ht="19.5" customHeight="1" x14ac:dyDescent="0.2">
      <c r="B63" s="121" t="str">
        <f>$B$11</f>
        <v>C20.1</v>
      </c>
      <c r="C63" s="32" t="s">
        <v>700</v>
      </c>
      <c r="D63" s="33"/>
      <c r="E63" s="34"/>
      <c r="F63" s="33"/>
      <c r="G63" s="352">
        <f>SUM(G10:G62)</f>
        <v>60000</v>
      </c>
      <c r="H63" s="36"/>
      <c r="J63" s="41"/>
      <c r="K63" s="35">
        <f>SUM(K10:K62)</f>
        <v>0</v>
      </c>
      <c r="L63" s="41"/>
      <c r="M63" s="41"/>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B3BA9F18-F909-40A2-869A-4A7F9E87AF6E}">
            <xm:f>AND(Information!$C$8=FALSE,$D10&lt;&gt;"P C Sum",$D10&lt;&gt;"PC Sum",$D10&lt;&gt;"P Sum",$D10&lt;&gt;"Prov Sum")</xm:f>
            <x14:dxf>
              <font>
                <strike val="0"/>
                <color theme="0"/>
              </font>
              <numFmt numFmtId="4" formatCode="#,##0.00"/>
            </x14:dxf>
          </x14:cfRule>
          <xm:sqref>F10:G62</xm:sqref>
        </x14:conditionalFormatting>
        <x14:conditionalFormatting xmlns:xm="http://schemas.microsoft.com/office/excel/2006/main">
          <x14:cfRule type="expression" priority="2" id="{FA3DFFB8-F3AD-4889-82F6-FC8A70DFED35}">
            <xm:f>AND(Information!$C$8=FALSE,$D63&lt;&gt;"P C Sum",$D63&lt;&gt;"PC Sum",$D63&lt;&gt;"P Sum",$D63&lt;&gt;"Prov Sum")</xm:f>
            <x14:dxf>
              <font>
                <strike val="0"/>
                <color theme="0"/>
              </font>
              <numFmt numFmtId="4" formatCode="#,##0.00"/>
            </x14:dxf>
          </x14:cfRule>
          <xm:sqref>G63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8238-2B9E-4134-ADF0-AECFE9C1D2B9}">
  <sheetPr codeName="Sheet27">
    <tabColor rgb="FF00B050"/>
  </sheetPr>
  <dimension ref="B1:M71"/>
  <sheetViews>
    <sheetView view="pageBreakPreview" topLeftCell="A26" zoomScale="85" zoomScaleNormal="125" zoomScaleSheetLayoutView="85" zoomScalePageLayoutView="125" workbookViewId="0">
      <selection activeCell="G38" sqref="G38"/>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6.85546875" style="1"/>
    <col min="11" max="11" width="10.7109375" style="1" bestFit="1" customWidth="1"/>
    <col min="12" max="16384" width="6.85546875" style="1"/>
  </cols>
  <sheetData>
    <row r="1" spans="2:13" x14ac:dyDescent="0.2">
      <c r="G1" s="166">
        <f>MAX(G9:G495)</f>
        <v>0</v>
      </c>
    </row>
    <row r="2" spans="2:13" x14ac:dyDescent="0.2">
      <c r="B2" s="2" t="str">
        <f>Client1</f>
        <v>Province of KwaZulu-Natal</v>
      </c>
      <c r="E2" s="703" t="str">
        <f>"Contract No. "&amp;ContractNo</f>
        <v>Contract No. ZNB02287/00000/00/MET/INF/24/T</v>
      </c>
      <c r="F2" s="703"/>
      <c r="G2" s="703"/>
      <c r="J2" s="293"/>
      <c r="K2" s="293">
        <f>MAX(K3:K240)</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"&amp;B12</f>
        <v>CHAPTER P.S.C 15.1</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13"/>
      <c r="C10" s="374"/>
      <c r="D10" s="15"/>
      <c r="E10" s="15"/>
      <c r="F10" s="16"/>
      <c r="G10" s="25" t="str">
        <f t="shared" ref="G10:G53" si="0">IF(D10="","",E10*F10)</f>
        <v/>
      </c>
      <c r="H10" s="18"/>
      <c r="J10" s="16"/>
      <c r="K10" s="16"/>
      <c r="L10" s="16"/>
      <c r="M10" s="16"/>
    </row>
    <row r="11" spans="2:13" x14ac:dyDescent="0.2">
      <c r="B11" s="47"/>
      <c r="C11" s="20"/>
      <c r="D11" s="22"/>
      <c r="E11" s="22"/>
      <c r="F11" s="16"/>
      <c r="G11" s="25"/>
      <c r="H11" s="42"/>
      <c r="J11" s="41"/>
      <c r="K11" s="41"/>
      <c r="L11" s="41"/>
      <c r="M11" s="41"/>
    </row>
    <row r="12" spans="2:13" x14ac:dyDescent="0.2">
      <c r="B12" s="51" t="s">
        <v>701</v>
      </c>
      <c r="C12" s="381" t="s">
        <v>663</v>
      </c>
      <c r="D12" s="22"/>
      <c r="E12" s="22"/>
      <c r="F12" s="16"/>
      <c r="G12" s="25" t="str">
        <f t="shared" si="0"/>
        <v/>
      </c>
      <c r="H12" s="42"/>
      <c r="J12" s="41"/>
      <c r="K12" s="41"/>
      <c r="L12" s="41"/>
      <c r="M12" s="41"/>
    </row>
    <row r="13" spans="2:13" x14ac:dyDescent="0.2">
      <c r="B13" s="51"/>
      <c r="C13" s="14"/>
      <c r="D13" s="22"/>
      <c r="E13" s="22"/>
      <c r="F13" s="16"/>
      <c r="G13" s="25" t="str">
        <f t="shared" si="0"/>
        <v/>
      </c>
      <c r="H13" s="42"/>
      <c r="J13" s="24"/>
      <c r="K13" s="46" t="str">
        <f t="shared" ref="K13:K15" si="1">IF(J13="","",J13*E13)</f>
        <v/>
      </c>
      <c r="L13" s="24"/>
      <c r="M13" s="24"/>
    </row>
    <row r="14" spans="2:13" ht="25.5" x14ac:dyDescent="0.2">
      <c r="B14" s="51" t="s">
        <v>702</v>
      </c>
      <c r="C14" s="158" t="s">
        <v>664</v>
      </c>
      <c r="D14" s="22"/>
      <c r="E14" s="22"/>
      <c r="F14" s="16"/>
      <c r="G14" s="25" t="str">
        <f t="shared" si="0"/>
        <v/>
      </c>
      <c r="H14" s="42"/>
      <c r="J14" s="41"/>
      <c r="K14" s="46" t="str">
        <f t="shared" si="1"/>
        <v/>
      </c>
      <c r="L14" s="41"/>
      <c r="M14" s="41"/>
    </row>
    <row r="15" spans="2:13" x14ac:dyDescent="0.2">
      <c r="B15" s="51"/>
      <c r="C15" s="158"/>
      <c r="D15" s="162"/>
      <c r="E15" s="163"/>
      <c r="F15" s="16"/>
      <c r="G15" s="25" t="str">
        <f t="shared" si="0"/>
        <v/>
      </c>
      <c r="H15" s="43"/>
      <c r="J15" s="41"/>
      <c r="K15" s="46" t="str">
        <f t="shared" si="1"/>
        <v/>
      </c>
      <c r="L15" s="41"/>
      <c r="M15" s="41"/>
    </row>
    <row r="16" spans="2:13" x14ac:dyDescent="0.2">
      <c r="B16" s="51"/>
      <c r="C16" s="158" t="s">
        <v>665</v>
      </c>
      <c r="D16" s="164" t="s">
        <v>6</v>
      </c>
      <c r="E16" s="373">
        <v>30000</v>
      </c>
      <c r="F16" s="16"/>
      <c r="G16" s="25">
        <f t="shared" si="0"/>
        <v>0</v>
      </c>
      <c r="H16" s="43"/>
      <c r="J16" s="41"/>
      <c r="K16" s="46"/>
      <c r="L16" s="41"/>
      <c r="M16" s="41"/>
    </row>
    <row r="17" spans="2:13" x14ac:dyDescent="0.2">
      <c r="B17" s="51"/>
      <c r="C17" s="158"/>
      <c r="D17" s="164"/>
      <c r="E17" s="373" t="s">
        <v>666</v>
      </c>
      <c r="F17" s="16"/>
      <c r="G17" s="25" t="str">
        <f t="shared" si="0"/>
        <v/>
      </c>
      <c r="H17" s="43"/>
      <c r="J17" s="41"/>
      <c r="K17" s="46"/>
      <c r="L17" s="41"/>
      <c r="M17" s="41"/>
    </row>
    <row r="18" spans="2:13" x14ac:dyDescent="0.2">
      <c r="B18" s="51"/>
      <c r="C18" s="165" t="s">
        <v>667</v>
      </c>
      <c r="D18" s="164" t="s">
        <v>6</v>
      </c>
      <c r="E18" s="373">
        <v>15000</v>
      </c>
      <c r="F18" s="16"/>
      <c r="G18" s="25">
        <f t="shared" si="0"/>
        <v>0</v>
      </c>
      <c r="H18" s="43"/>
      <c r="J18" s="41"/>
      <c r="K18" s="46"/>
      <c r="L18" s="41"/>
      <c r="M18" s="41"/>
    </row>
    <row r="19" spans="2:13" x14ac:dyDescent="0.2">
      <c r="B19" s="51"/>
      <c r="C19" s="156"/>
      <c r="D19" s="164"/>
      <c r="E19" s="373" t="s">
        <v>666</v>
      </c>
      <c r="F19" s="16"/>
      <c r="G19" s="25" t="str">
        <f t="shared" si="0"/>
        <v/>
      </c>
      <c r="H19" s="43"/>
      <c r="J19" s="41"/>
      <c r="K19" s="46"/>
      <c r="L19" s="41"/>
      <c r="M19" s="41"/>
    </row>
    <row r="20" spans="2:13" x14ac:dyDescent="0.2">
      <c r="B20" s="51"/>
      <c r="C20" s="165" t="s">
        <v>668</v>
      </c>
      <c r="D20" s="382" t="s">
        <v>6</v>
      </c>
      <c r="E20" s="373">
        <v>3000</v>
      </c>
      <c r="F20" s="16"/>
      <c r="G20" s="25">
        <f t="shared" si="0"/>
        <v>0</v>
      </c>
      <c r="H20" s="43"/>
      <c r="J20" s="41"/>
      <c r="K20" s="46"/>
      <c r="L20" s="41"/>
      <c r="M20" s="41"/>
    </row>
    <row r="21" spans="2:13" x14ac:dyDescent="0.2">
      <c r="B21" s="51"/>
      <c r="C21" s="158"/>
      <c r="D21" s="382"/>
      <c r="E21" s="373" t="s">
        <v>666</v>
      </c>
      <c r="F21" s="16"/>
      <c r="G21" s="25" t="str">
        <f t="shared" si="0"/>
        <v/>
      </c>
      <c r="H21" s="43"/>
      <c r="J21" s="41"/>
      <c r="K21" s="46"/>
      <c r="L21" s="41"/>
      <c r="M21" s="41"/>
    </row>
    <row r="22" spans="2:13" ht="36" x14ac:dyDescent="0.2">
      <c r="B22" s="51"/>
      <c r="C22" s="158" t="s">
        <v>669</v>
      </c>
      <c r="D22" s="155" t="s">
        <v>33</v>
      </c>
      <c r="E22" s="373">
        <v>900</v>
      </c>
      <c r="F22" s="16"/>
      <c r="G22" s="25">
        <f t="shared" si="0"/>
        <v>0</v>
      </c>
      <c r="H22" s="43"/>
      <c r="J22" s="41"/>
      <c r="K22" s="46"/>
      <c r="L22" s="41"/>
      <c r="M22" s="41"/>
    </row>
    <row r="23" spans="2:13" x14ac:dyDescent="0.2">
      <c r="B23" s="51"/>
      <c r="C23" s="156"/>
      <c r="D23" s="164"/>
      <c r="E23" s="373" t="s">
        <v>666</v>
      </c>
      <c r="F23" s="16"/>
      <c r="G23" s="25" t="str">
        <f t="shared" si="0"/>
        <v/>
      </c>
      <c r="H23" s="43"/>
      <c r="J23" s="41"/>
      <c r="K23" s="46"/>
      <c r="L23" s="41"/>
      <c r="M23" s="41"/>
    </row>
    <row r="24" spans="2:13" hidden="1" x14ac:dyDescent="0.2">
      <c r="B24" s="51"/>
      <c r="C24" s="165" t="s">
        <v>670</v>
      </c>
      <c r="D24" s="164" t="s">
        <v>256</v>
      </c>
      <c r="E24" s="373">
        <v>0</v>
      </c>
      <c r="F24" s="16"/>
      <c r="G24" s="25">
        <f t="shared" si="0"/>
        <v>0</v>
      </c>
      <c r="H24" s="43"/>
      <c r="J24" s="41"/>
      <c r="K24" s="46"/>
      <c r="L24" s="41"/>
      <c r="M24" s="41"/>
    </row>
    <row r="25" spans="2:13" hidden="1" x14ac:dyDescent="0.2">
      <c r="B25" s="51"/>
      <c r="C25" s="158"/>
      <c r="D25" s="164"/>
      <c r="E25" s="373" t="s">
        <v>666</v>
      </c>
      <c r="F25" s="16"/>
      <c r="G25" s="25" t="str">
        <f t="shared" si="0"/>
        <v/>
      </c>
      <c r="H25" s="43"/>
      <c r="J25" s="41"/>
      <c r="K25" s="46"/>
      <c r="L25" s="41"/>
      <c r="M25" s="41"/>
    </row>
    <row r="26" spans="2:13" x14ac:dyDescent="0.2">
      <c r="B26" s="51"/>
      <c r="C26" s="158" t="s">
        <v>671</v>
      </c>
      <c r="D26" s="164"/>
      <c r="E26" s="373" t="s">
        <v>666</v>
      </c>
      <c r="F26" s="16"/>
      <c r="G26" s="25" t="str">
        <f t="shared" si="0"/>
        <v/>
      </c>
      <c r="H26" s="43"/>
      <c r="J26" s="41"/>
      <c r="K26" s="46"/>
      <c r="L26" s="41"/>
      <c r="M26" s="41"/>
    </row>
    <row r="27" spans="2:13" x14ac:dyDescent="0.2">
      <c r="B27" s="51"/>
      <c r="C27" s="158"/>
      <c r="D27" s="164"/>
      <c r="E27" s="373" t="s">
        <v>666</v>
      </c>
      <c r="F27" s="16"/>
      <c r="G27" s="25" t="str">
        <f t="shared" si="0"/>
        <v/>
      </c>
      <c r="H27" s="43"/>
      <c r="J27" s="41"/>
      <c r="K27" s="46"/>
      <c r="L27" s="41"/>
      <c r="M27" s="41"/>
    </row>
    <row r="28" spans="2:13" x14ac:dyDescent="0.2">
      <c r="B28" s="51"/>
      <c r="C28" s="156" t="s">
        <v>672</v>
      </c>
      <c r="D28" s="382" t="s">
        <v>256</v>
      </c>
      <c r="E28" s="373">
        <v>200</v>
      </c>
      <c r="F28" s="16"/>
      <c r="G28" s="25">
        <f t="shared" si="0"/>
        <v>0</v>
      </c>
      <c r="H28" s="43"/>
      <c r="J28" s="41"/>
      <c r="K28" s="46"/>
      <c r="L28" s="41"/>
      <c r="M28" s="41"/>
    </row>
    <row r="29" spans="2:13" x14ac:dyDescent="0.2">
      <c r="B29" s="51"/>
      <c r="C29" s="156"/>
      <c r="D29" s="382"/>
      <c r="E29" s="373" t="s">
        <v>666</v>
      </c>
      <c r="F29" s="16"/>
      <c r="G29" s="25" t="str">
        <f t="shared" si="0"/>
        <v/>
      </c>
      <c r="H29" s="43"/>
      <c r="J29" s="41"/>
      <c r="K29" s="46"/>
      <c r="L29" s="41"/>
      <c r="M29" s="41"/>
    </row>
    <row r="30" spans="2:13" x14ac:dyDescent="0.2">
      <c r="B30" s="51"/>
      <c r="C30" s="156" t="s">
        <v>673</v>
      </c>
      <c r="D30" s="382" t="s">
        <v>21</v>
      </c>
      <c r="E30" s="373">
        <v>15</v>
      </c>
      <c r="F30" s="16"/>
      <c r="G30" s="25">
        <f t="shared" si="0"/>
        <v>0</v>
      </c>
      <c r="H30" s="43"/>
      <c r="J30" s="41"/>
      <c r="K30" s="46"/>
      <c r="L30" s="41"/>
      <c r="M30" s="41"/>
    </row>
    <row r="31" spans="2:13" x14ac:dyDescent="0.2">
      <c r="B31" s="51"/>
      <c r="C31" s="158"/>
      <c r="D31" s="162"/>
      <c r="E31" s="163"/>
      <c r="F31" s="16"/>
      <c r="G31" s="25" t="str">
        <f t="shared" si="0"/>
        <v/>
      </c>
      <c r="H31" s="43"/>
      <c r="J31" s="41"/>
      <c r="K31" s="46"/>
      <c r="L31" s="41"/>
      <c r="M31" s="41"/>
    </row>
    <row r="32" spans="2:13" x14ac:dyDescent="0.2">
      <c r="B32" s="51"/>
      <c r="C32" s="158"/>
      <c r="D32" s="162"/>
      <c r="E32" s="163"/>
      <c r="F32" s="16"/>
      <c r="G32" s="25" t="str">
        <f t="shared" si="0"/>
        <v/>
      </c>
      <c r="H32" s="43"/>
      <c r="J32" s="41"/>
      <c r="K32" s="46"/>
      <c r="L32" s="41"/>
      <c r="M32" s="41"/>
    </row>
    <row r="33" spans="2:13" x14ac:dyDescent="0.2">
      <c r="B33" s="51"/>
      <c r="C33" s="14"/>
      <c r="D33" s="22"/>
      <c r="E33" s="23"/>
      <c r="F33" s="16"/>
      <c r="G33" s="25" t="str">
        <f t="shared" si="0"/>
        <v/>
      </c>
      <c r="H33" s="43"/>
      <c r="J33" s="41"/>
      <c r="K33" s="46"/>
      <c r="L33" s="41"/>
      <c r="M33" s="41"/>
    </row>
    <row r="34" spans="2:13" x14ac:dyDescent="0.2">
      <c r="B34" s="51"/>
      <c r="C34" s="14"/>
      <c r="D34" s="22"/>
      <c r="E34" s="23"/>
      <c r="F34" s="16"/>
      <c r="G34" s="25" t="str">
        <f>IF(D34="","",E34*F34)</f>
        <v/>
      </c>
      <c r="H34" s="43"/>
      <c r="J34" s="41"/>
      <c r="K34" s="46"/>
      <c r="L34" s="41"/>
      <c r="M34" s="41"/>
    </row>
    <row r="35" spans="2:13" x14ac:dyDescent="0.2">
      <c r="B35" s="51"/>
      <c r="C35" s="14"/>
      <c r="D35" s="22"/>
      <c r="E35" s="23"/>
      <c r="F35" s="16"/>
      <c r="G35" s="25" t="str">
        <f t="shared" ref="G35:G48" si="2">IF(D35="","",E35*F35)</f>
        <v/>
      </c>
      <c r="H35" s="43"/>
      <c r="J35" s="41"/>
      <c r="K35" s="46"/>
      <c r="L35" s="41"/>
      <c r="M35" s="41"/>
    </row>
    <row r="36" spans="2:13" x14ac:dyDescent="0.2">
      <c r="B36" s="51"/>
      <c r="C36" s="14"/>
      <c r="D36" s="22"/>
      <c r="E36" s="23"/>
      <c r="F36" s="16"/>
      <c r="G36" s="25" t="str">
        <f t="shared" si="2"/>
        <v/>
      </c>
      <c r="H36" s="43"/>
      <c r="J36" s="41"/>
      <c r="K36" s="46"/>
      <c r="L36" s="41"/>
      <c r="M36" s="41"/>
    </row>
    <row r="37" spans="2:13" x14ac:dyDescent="0.2">
      <c r="B37" s="51"/>
      <c r="C37" s="14"/>
      <c r="D37" s="22"/>
      <c r="E37" s="23"/>
      <c r="F37" s="16"/>
      <c r="G37" s="25" t="str">
        <f t="shared" si="2"/>
        <v/>
      </c>
      <c r="H37" s="43"/>
      <c r="J37" s="41"/>
      <c r="K37" s="46"/>
      <c r="L37" s="41"/>
      <c r="M37" s="41"/>
    </row>
    <row r="38" spans="2:13" x14ac:dyDescent="0.2">
      <c r="B38" s="51"/>
      <c r="C38" s="14"/>
      <c r="D38" s="22"/>
      <c r="E38" s="23"/>
      <c r="F38" s="16"/>
      <c r="G38" s="25" t="str">
        <f t="shared" si="2"/>
        <v/>
      </c>
      <c r="H38" s="43"/>
      <c r="J38" s="41"/>
      <c r="K38" s="46"/>
      <c r="L38" s="41"/>
      <c r="M38" s="41"/>
    </row>
    <row r="39" spans="2:13" x14ac:dyDescent="0.2">
      <c r="B39" s="51"/>
      <c r="C39" s="14"/>
      <c r="D39" s="22"/>
      <c r="E39" s="23"/>
      <c r="F39" s="16"/>
      <c r="G39" s="25" t="str">
        <f t="shared" si="2"/>
        <v/>
      </c>
      <c r="H39" s="43"/>
      <c r="J39" s="41"/>
      <c r="K39" s="46"/>
      <c r="L39" s="41"/>
      <c r="M39" s="41"/>
    </row>
    <row r="40" spans="2:13" x14ac:dyDescent="0.2">
      <c r="B40" s="51"/>
      <c r="C40" s="14"/>
      <c r="D40" s="22"/>
      <c r="E40" s="23"/>
      <c r="F40" s="16"/>
      <c r="G40" s="25" t="str">
        <f t="shared" si="2"/>
        <v/>
      </c>
      <c r="H40" s="43"/>
      <c r="J40" s="41"/>
      <c r="K40" s="46"/>
      <c r="L40" s="41"/>
      <c r="M40" s="41"/>
    </row>
    <row r="41" spans="2:13" x14ac:dyDescent="0.2">
      <c r="B41" s="51"/>
      <c r="C41" s="14"/>
      <c r="D41" s="22"/>
      <c r="E41" s="23"/>
      <c r="F41" s="16"/>
      <c r="G41" s="25" t="str">
        <f t="shared" si="2"/>
        <v/>
      </c>
      <c r="H41" s="43"/>
      <c r="J41" s="41"/>
      <c r="K41" s="46"/>
      <c r="L41" s="41"/>
      <c r="M41" s="41"/>
    </row>
    <row r="42" spans="2:13" x14ac:dyDescent="0.2">
      <c r="B42" s="51"/>
      <c r="C42" s="14"/>
      <c r="D42" s="22"/>
      <c r="E42" s="23"/>
      <c r="F42" s="16"/>
      <c r="G42" s="25" t="str">
        <f t="shared" si="2"/>
        <v/>
      </c>
      <c r="H42" s="43"/>
      <c r="J42" s="41"/>
      <c r="K42" s="46"/>
      <c r="L42" s="41"/>
      <c r="M42" s="41"/>
    </row>
    <row r="43" spans="2:13" x14ac:dyDescent="0.2">
      <c r="B43" s="51"/>
      <c r="C43" s="14"/>
      <c r="D43" s="22"/>
      <c r="E43" s="23"/>
      <c r="F43" s="16"/>
      <c r="G43" s="25" t="str">
        <f t="shared" si="2"/>
        <v/>
      </c>
      <c r="H43" s="43"/>
      <c r="J43" s="41"/>
      <c r="K43" s="46"/>
      <c r="L43" s="41"/>
      <c r="M43" s="41"/>
    </row>
    <row r="44" spans="2:13" x14ac:dyDescent="0.2">
      <c r="B44" s="51"/>
      <c r="C44" s="14"/>
      <c r="D44" s="22"/>
      <c r="E44" s="23"/>
      <c r="F44" s="16"/>
      <c r="G44" s="25" t="str">
        <f t="shared" si="2"/>
        <v/>
      </c>
      <c r="H44" s="43"/>
      <c r="J44" s="41"/>
      <c r="K44" s="46"/>
      <c r="L44" s="41"/>
      <c r="M44" s="41"/>
    </row>
    <row r="45" spans="2:13" x14ac:dyDescent="0.2">
      <c r="B45" s="51"/>
      <c r="C45" s="14"/>
      <c r="D45" s="22"/>
      <c r="E45" s="23"/>
      <c r="F45" s="16"/>
      <c r="G45" s="25" t="str">
        <f t="shared" si="2"/>
        <v/>
      </c>
      <c r="H45" s="43"/>
      <c r="J45" s="41"/>
      <c r="K45" s="46"/>
      <c r="L45" s="41"/>
      <c r="M45" s="41"/>
    </row>
    <row r="46" spans="2:13" x14ac:dyDescent="0.2">
      <c r="B46" s="51"/>
      <c r="C46" s="14"/>
      <c r="D46" s="22"/>
      <c r="E46" s="23"/>
      <c r="F46" s="16"/>
      <c r="G46" s="25" t="str">
        <f t="shared" si="2"/>
        <v/>
      </c>
      <c r="H46" s="43"/>
      <c r="J46" s="41"/>
      <c r="K46" s="46"/>
      <c r="L46" s="41"/>
      <c r="M46" s="41"/>
    </row>
    <row r="47" spans="2:13" x14ac:dyDescent="0.2">
      <c r="B47" s="51"/>
      <c r="C47" s="14"/>
      <c r="D47" s="22"/>
      <c r="E47" s="23"/>
      <c r="F47" s="16"/>
      <c r="G47" s="25" t="str">
        <f t="shared" si="2"/>
        <v/>
      </c>
      <c r="H47" s="42"/>
      <c r="J47" s="41"/>
      <c r="K47" s="46" t="str">
        <f t="shared" ref="K47:K70" si="3">IF(J47="","",J47*E47)</f>
        <v/>
      </c>
      <c r="L47" s="41"/>
      <c r="M47" s="41"/>
    </row>
    <row r="48" spans="2:13" x14ac:dyDescent="0.2">
      <c r="B48" s="51"/>
      <c r="C48" s="14"/>
      <c r="D48" s="22"/>
      <c r="E48" s="23"/>
      <c r="F48" s="16"/>
      <c r="G48" s="25" t="str">
        <f t="shared" si="2"/>
        <v/>
      </c>
      <c r="H48" s="42"/>
      <c r="J48" s="41"/>
      <c r="K48" s="46" t="str">
        <f t="shared" si="3"/>
        <v/>
      </c>
      <c r="L48" s="41"/>
      <c r="M48" s="41"/>
    </row>
    <row r="49" spans="2:13" x14ac:dyDescent="0.2">
      <c r="B49" s="51"/>
      <c r="C49" s="14"/>
      <c r="D49" s="22"/>
      <c r="E49" s="23"/>
      <c r="F49" s="16"/>
      <c r="G49" s="25" t="str">
        <f t="shared" si="0"/>
        <v/>
      </c>
      <c r="H49" s="42"/>
      <c r="J49" s="41"/>
      <c r="K49" s="46" t="str">
        <f t="shared" si="3"/>
        <v/>
      </c>
      <c r="L49" s="41"/>
      <c r="M49" s="41"/>
    </row>
    <row r="50" spans="2:13" x14ac:dyDescent="0.2">
      <c r="B50" s="13"/>
      <c r="C50" s="14"/>
      <c r="D50" s="22"/>
      <c r="E50" s="22"/>
      <c r="F50" s="16"/>
      <c r="G50" s="25" t="str">
        <f t="shared" si="0"/>
        <v/>
      </c>
      <c r="H50" s="42"/>
      <c r="J50" s="41"/>
      <c r="K50" s="46" t="str">
        <f t="shared" si="3"/>
        <v/>
      </c>
      <c r="L50" s="41"/>
      <c r="M50" s="41"/>
    </row>
    <row r="51" spans="2:13" x14ac:dyDescent="0.2">
      <c r="B51" s="13"/>
      <c r="C51" s="14"/>
      <c r="D51" s="22"/>
      <c r="E51" s="22"/>
      <c r="F51" s="16"/>
      <c r="G51" s="25" t="str">
        <f t="shared" si="0"/>
        <v/>
      </c>
      <c r="H51" s="42"/>
      <c r="J51" s="41"/>
      <c r="K51" s="46" t="str">
        <f t="shared" si="3"/>
        <v/>
      </c>
      <c r="L51" s="41"/>
      <c r="M51" s="41"/>
    </row>
    <row r="52" spans="2:13" x14ac:dyDescent="0.2">
      <c r="B52" s="21"/>
      <c r="C52" s="14"/>
      <c r="D52" s="22"/>
      <c r="E52" s="22"/>
      <c r="F52" s="16"/>
      <c r="G52" s="25" t="str">
        <f t="shared" si="0"/>
        <v/>
      </c>
      <c r="H52" s="42"/>
      <c r="J52" s="41"/>
      <c r="K52" s="46" t="str">
        <f t="shared" si="3"/>
        <v/>
      </c>
      <c r="L52" s="41"/>
      <c r="M52" s="41"/>
    </row>
    <row r="53" spans="2:13" x14ac:dyDescent="0.2">
      <c r="B53" s="21"/>
      <c r="C53" s="14"/>
      <c r="D53" s="22"/>
      <c r="E53" s="22"/>
      <c r="F53" s="16"/>
      <c r="G53" s="25" t="str">
        <f t="shared" si="0"/>
        <v/>
      </c>
      <c r="H53" s="42"/>
      <c r="J53" s="41"/>
      <c r="K53" s="46" t="str">
        <f t="shared" si="3"/>
        <v/>
      </c>
      <c r="L53" s="41"/>
      <c r="M53" s="41"/>
    </row>
    <row r="54" spans="2:13" x14ac:dyDescent="0.2">
      <c r="B54" s="21"/>
      <c r="C54" s="14"/>
      <c r="D54" s="22"/>
      <c r="E54" s="22"/>
      <c r="F54" s="16"/>
      <c r="G54" s="25" t="str">
        <f t="shared" ref="G54:G70" si="4">IF(D54="","",E54*F54)</f>
        <v/>
      </c>
      <c r="H54" s="42"/>
      <c r="J54" s="41"/>
      <c r="K54" s="46" t="str">
        <f t="shared" si="3"/>
        <v/>
      </c>
      <c r="L54" s="41"/>
      <c r="M54" s="41"/>
    </row>
    <row r="55" spans="2:13" x14ac:dyDescent="0.2">
      <c r="B55" s="13"/>
      <c r="C55" s="14"/>
      <c r="D55" s="22"/>
      <c r="E55" s="22"/>
      <c r="F55" s="16"/>
      <c r="G55" s="25" t="str">
        <f t="shared" si="4"/>
        <v/>
      </c>
      <c r="H55" s="42"/>
      <c r="J55" s="41"/>
      <c r="K55" s="46" t="str">
        <f t="shared" si="3"/>
        <v/>
      </c>
      <c r="L55" s="41"/>
      <c r="M55" s="41"/>
    </row>
    <row r="56" spans="2:13" x14ac:dyDescent="0.2">
      <c r="B56" s="13"/>
      <c r="C56" s="14"/>
      <c r="D56" s="22"/>
      <c r="E56" s="22"/>
      <c r="F56" s="16"/>
      <c r="G56" s="25" t="str">
        <f t="shared" si="4"/>
        <v/>
      </c>
      <c r="H56" s="42"/>
      <c r="J56" s="41"/>
      <c r="K56" s="46" t="str">
        <f t="shared" si="3"/>
        <v/>
      </c>
      <c r="L56" s="41"/>
      <c r="M56" s="41"/>
    </row>
    <row r="57" spans="2:13" x14ac:dyDescent="0.2">
      <c r="B57" s="13"/>
      <c r="C57" s="14"/>
      <c r="D57" s="22"/>
      <c r="E57" s="22"/>
      <c r="F57" s="16"/>
      <c r="G57" s="25" t="str">
        <f t="shared" si="4"/>
        <v/>
      </c>
      <c r="H57" s="42"/>
      <c r="J57" s="41"/>
      <c r="K57" s="46" t="str">
        <f t="shared" si="3"/>
        <v/>
      </c>
      <c r="L57" s="41"/>
      <c r="M57" s="41"/>
    </row>
    <row r="58" spans="2:13" x14ac:dyDescent="0.2">
      <c r="B58" s="13"/>
      <c r="C58" s="14"/>
      <c r="D58" s="22"/>
      <c r="E58" s="22"/>
      <c r="F58" s="16"/>
      <c r="G58" s="25" t="str">
        <f t="shared" si="4"/>
        <v/>
      </c>
      <c r="H58" s="42"/>
      <c r="J58" s="41"/>
      <c r="K58" s="46" t="str">
        <f t="shared" si="3"/>
        <v/>
      </c>
      <c r="L58" s="41"/>
      <c r="M58" s="41"/>
    </row>
    <row r="59" spans="2:13" x14ac:dyDescent="0.2">
      <c r="B59" s="13"/>
      <c r="C59" s="14"/>
      <c r="D59" s="22"/>
      <c r="E59" s="22"/>
      <c r="F59" s="16"/>
      <c r="G59" s="25" t="str">
        <f t="shared" si="4"/>
        <v/>
      </c>
      <c r="H59" s="42"/>
      <c r="J59" s="41"/>
      <c r="K59" s="46" t="str">
        <f t="shared" si="3"/>
        <v/>
      </c>
      <c r="L59" s="41"/>
      <c r="M59" s="41"/>
    </row>
    <row r="60" spans="2:13" x14ac:dyDescent="0.2">
      <c r="B60" s="13"/>
      <c r="C60" s="14"/>
      <c r="D60" s="22"/>
      <c r="E60" s="22"/>
      <c r="F60" s="16"/>
      <c r="G60" s="25" t="str">
        <f t="shared" si="4"/>
        <v/>
      </c>
      <c r="H60" s="42"/>
      <c r="J60" s="41"/>
      <c r="K60" s="46" t="str">
        <f t="shared" si="3"/>
        <v/>
      </c>
      <c r="L60" s="41"/>
      <c r="M60" s="41"/>
    </row>
    <row r="61" spans="2:13" x14ac:dyDescent="0.2">
      <c r="B61" s="13"/>
      <c r="C61" s="14"/>
      <c r="D61" s="22"/>
      <c r="E61" s="22"/>
      <c r="F61" s="16"/>
      <c r="G61" s="25" t="str">
        <f t="shared" si="4"/>
        <v/>
      </c>
      <c r="H61" s="42"/>
      <c r="J61" s="41"/>
      <c r="K61" s="46" t="str">
        <f t="shared" si="3"/>
        <v/>
      </c>
      <c r="L61" s="41"/>
      <c r="M61" s="41"/>
    </row>
    <row r="62" spans="2:13" x14ac:dyDescent="0.2">
      <c r="B62" s="13"/>
      <c r="C62" s="14"/>
      <c r="D62" s="22"/>
      <c r="E62" s="22"/>
      <c r="F62" s="16"/>
      <c r="G62" s="25" t="str">
        <f t="shared" si="4"/>
        <v/>
      </c>
      <c r="H62" s="42"/>
      <c r="J62" s="41"/>
      <c r="K62" s="46" t="str">
        <f t="shared" si="3"/>
        <v/>
      </c>
      <c r="L62" s="41"/>
      <c r="M62" s="41"/>
    </row>
    <row r="63" spans="2:13" x14ac:dyDescent="0.2">
      <c r="B63" s="13"/>
      <c r="C63" s="14"/>
      <c r="D63" s="22"/>
      <c r="E63" s="22"/>
      <c r="F63" s="16"/>
      <c r="G63" s="25" t="str">
        <f t="shared" si="4"/>
        <v/>
      </c>
      <c r="H63" s="42"/>
      <c r="J63" s="41"/>
      <c r="K63" s="46" t="str">
        <f t="shared" si="3"/>
        <v/>
      </c>
      <c r="L63" s="41"/>
      <c r="M63" s="41"/>
    </row>
    <row r="64" spans="2:13" x14ac:dyDescent="0.2">
      <c r="B64" s="13"/>
      <c r="C64" s="14"/>
      <c r="D64" s="39"/>
      <c r="E64" s="39"/>
      <c r="F64" s="16"/>
      <c r="G64" s="25" t="str">
        <f t="shared" si="4"/>
        <v/>
      </c>
      <c r="J64" s="41"/>
      <c r="K64" s="46" t="str">
        <f t="shared" si="3"/>
        <v/>
      </c>
      <c r="L64" s="41"/>
      <c r="M64" s="41"/>
    </row>
    <row r="65" spans="2:13" x14ac:dyDescent="0.2">
      <c r="B65" s="13"/>
      <c r="C65" s="14"/>
      <c r="D65" s="22"/>
      <c r="E65" s="22"/>
      <c r="F65" s="16"/>
      <c r="G65" s="25" t="str">
        <f t="shared" si="4"/>
        <v/>
      </c>
      <c r="H65" s="42"/>
      <c r="J65" s="41"/>
      <c r="K65" s="46" t="str">
        <f t="shared" si="3"/>
        <v/>
      </c>
      <c r="L65" s="41"/>
      <c r="M65" s="41"/>
    </row>
    <row r="66" spans="2:13" x14ac:dyDescent="0.2">
      <c r="B66" s="13"/>
      <c r="C66" s="14"/>
      <c r="D66" s="39"/>
      <c r="E66" s="39"/>
      <c r="F66" s="16"/>
      <c r="G66" s="25" t="str">
        <f t="shared" si="4"/>
        <v/>
      </c>
      <c r="H66" s="50"/>
      <c r="J66" s="41"/>
      <c r="K66" s="46" t="str">
        <f t="shared" si="3"/>
        <v/>
      </c>
      <c r="L66" s="41"/>
      <c r="M66" s="41"/>
    </row>
    <row r="67" spans="2:13" x14ac:dyDescent="0.2">
      <c r="B67" s="13"/>
      <c r="C67" s="14"/>
      <c r="D67" s="39"/>
      <c r="E67" s="39"/>
      <c r="F67" s="16"/>
      <c r="G67" s="25" t="str">
        <f t="shared" si="4"/>
        <v/>
      </c>
      <c r="J67" s="41"/>
      <c r="K67" s="46" t="str">
        <f t="shared" si="3"/>
        <v/>
      </c>
      <c r="L67" s="41"/>
      <c r="M67" s="41"/>
    </row>
    <row r="68" spans="2:13" x14ac:dyDescent="0.2">
      <c r="B68" s="13"/>
      <c r="C68" s="14"/>
      <c r="D68" s="22"/>
      <c r="E68" s="22"/>
      <c r="F68" s="16"/>
      <c r="G68" s="25" t="str">
        <f t="shared" si="4"/>
        <v/>
      </c>
      <c r="H68" s="42"/>
      <c r="J68" s="41"/>
      <c r="K68" s="46" t="str">
        <f t="shared" si="3"/>
        <v/>
      </c>
      <c r="L68" s="41"/>
      <c r="M68" s="41"/>
    </row>
    <row r="69" spans="2:13" x14ac:dyDescent="0.2">
      <c r="B69" s="13"/>
      <c r="C69" s="14"/>
      <c r="D69" s="22"/>
      <c r="E69" s="22"/>
      <c r="F69" s="16"/>
      <c r="G69" s="25" t="str">
        <f t="shared" si="4"/>
        <v/>
      </c>
      <c r="H69" s="42"/>
      <c r="J69" s="41"/>
      <c r="K69" s="46" t="str">
        <f t="shared" si="3"/>
        <v/>
      </c>
      <c r="L69" s="41"/>
      <c r="M69" s="41"/>
    </row>
    <row r="70" spans="2:13" x14ac:dyDescent="0.2">
      <c r="B70" s="13"/>
      <c r="C70" s="14"/>
      <c r="D70" s="22"/>
      <c r="E70" s="22"/>
      <c r="F70" s="16"/>
      <c r="G70" s="25" t="str">
        <f t="shared" si="4"/>
        <v/>
      </c>
      <c r="H70" s="42"/>
      <c r="J70" s="41"/>
      <c r="K70" s="46" t="str">
        <f t="shared" si="3"/>
        <v/>
      </c>
      <c r="L70" s="41"/>
      <c r="M70" s="41"/>
    </row>
    <row r="71" spans="2:13" s="30" customFormat="1" ht="24.75" customHeight="1" x14ac:dyDescent="0.2">
      <c r="B71" s="125" t="str">
        <f>$B$12</f>
        <v>P.S.C 15.1</v>
      </c>
      <c r="C71" s="32" t="s">
        <v>700</v>
      </c>
      <c r="D71" s="33"/>
      <c r="E71" s="34"/>
      <c r="F71" s="33"/>
      <c r="G71" s="352">
        <f>SUM(G10:G70)</f>
        <v>0</v>
      </c>
      <c r="H71" s="36"/>
      <c r="K71" s="35">
        <f>SUM(K10:K70)</f>
        <v>0</v>
      </c>
    </row>
  </sheetData>
  <mergeCells count="4">
    <mergeCell ref="E2:G2"/>
    <mergeCell ref="B6:F8"/>
    <mergeCell ref="G5:G8"/>
    <mergeCell ref="B5:F5"/>
  </mergeCells>
  <dataValidations count="1">
    <dataValidation type="custom" allowBlank="1" showInputMessage="1" showErrorMessage="1" errorTitle="Invalid rate" error="A value with an invalid decimal part_x000a_was entered." sqref="F41:F43 F16:F32" xr:uid="{C91EB6DA-4AE8-40C2-8753-323B95478C7A}">
      <formula1>(F16)-TRUNC(F16,2)=0</formula1>
    </dataValidation>
  </dataValidation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A5A29F85-CF79-4D25-A6E5-68C57001D934}">
            <xm:f>AND(Information!$C$8=FALSE,$D31&lt;&gt;"P C Sum",$D31&lt;&gt;"PC Sum",$D31&lt;&gt;"P Sum",$D31&lt;&gt;"Prov Sum")</xm:f>
            <x14:dxf>
              <font>
                <strike val="0"/>
                <color theme="0"/>
              </font>
              <numFmt numFmtId="4" formatCode="#,##0.00"/>
            </x14:dxf>
          </x14:cfRule>
          <xm:sqref>F35:G70 G31:G34</xm:sqref>
        </x14:conditionalFormatting>
        <x14:conditionalFormatting xmlns:xm="http://schemas.microsoft.com/office/excel/2006/main">
          <x14:cfRule type="expression" priority="3" id="{3ED1747B-1669-4976-9D77-65DF4367D04F}">
            <xm:f>AND(Information!$C$8=FALSE,$D71&lt;&gt;"P C Sum",$D71&lt;&gt;"PC Sum",$D71&lt;&gt;"P Sum",$D71&lt;&gt;"Prov Sum")</xm:f>
            <x14:dxf>
              <font>
                <strike val="0"/>
                <color theme="0"/>
              </font>
              <numFmt numFmtId="4" formatCode="#,##0.00"/>
            </x14:dxf>
          </x14:cfRule>
          <xm:sqref>G71</xm:sqref>
        </x14:conditionalFormatting>
        <x14:conditionalFormatting xmlns:xm="http://schemas.microsoft.com/office/excel/2006/main">
          <x14:cfRule type="expression" priority="2" id="{9393BAD2-5079-4C97-99DE-7A345B998C5A}">
            <xm:f>AND(Information!$C$8=FALSE,$D10&lt;&gt;"P C Sum",$D10&lt;&gt;"PC Sum",$D10&lt;&gt;"P Sum",$D10&lt;&gt;"Prov Sum")</xm:f>
            <x14:dxf>
              <font>
                <strike val="0"/>
                <color theme="0"/>
              </font>
              <numFmt numFmtId="4" formatCode="#,##0.00"/>
            </x14:dxf>
          </x14:cfRule>
          <xm:sqref>F10:G14 G15:G30</xm:sqref>
        </x14:conditionalFormatting>
        <x14:conditionalFormatting xmlns:xm="http://schemas.microsoft.com/office/excel/2006/main">
          <x14:cfRule type="expression" priority="1" id="{FADC4178-230E-4701-B1C9-6878ACED3C38}">
            <xm:f>AND(Information!$C$8=FALSE,$D15&lt;&gt;"P C Sum",$D15&lt;&gt;"PC Sum",$D15&lt;&gt;"P Sum",$D15&lt;&gt;"Prov Sum")</xm:f>
            <x14:dxf>
              <font>
                <strike val="0"/>
                <color theme="0"/>
              </font>
              <numFmt numFmtId="4" formatCode="#,##0.00"/>
            </x14:dxf>
          </x14:cfRule>
          <xm:sqref>F15:F34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14A4-33B8-4221-94F8-32D4A183B52D}">
  <sheetPr>
    <tabColor theme="3" tint="0.59999389629810485"/>
  </sheetPr>
  <dimension ref="B1:I182"/>
  <sheetViews>
    <sheetView showGridLines="0" view="pageBreakPreview" topLeftCell="A7" zoomScale="60" zoomScaleNormal="100" zoomScalePageLayoutView="150" workbookViewId="0">
      <selection activeCell="C16" sqref="C16"/>
    </sheetView>
  </sheetViews>
  <sheetFormatPr defaultColWidth="8.85546875" defaultRowHeight="12.75" x14ac:dyDescent="0.2"/>
  <cols>
    <col min="1" max="1" width="2" style="80" customWidth="1"/>
    <col min="2" max="2" width="8.42578125" style="222" customWidth="1"/>
    <col min="3" max="3" width="55.85546875" style="53" customWidth="1"/>
    <col min="4" max="4" width="6.5703125" style="53" customWidth="1"/>
    <col min="5" max="5" width="21.85546875" style="115" customWidth="1"/>
    <col min="6" max="6" width="1.42578125" style="80" customWidth="1"/>
    <col min="7" max="7" width="9.5703125" style="80" customWidth="1"/>
    <col min="8" max="8" width="15.42578125" style="80" customWidth="1"/>
    <col min="9" max="9" width="12.5703125" style="80" customWidth="1"/>
    <col min="10" max="10" width="9.42578125" style="80" customWidth="1"/>
    <col min="11" max="16384" width="8.85546875" style="80"/>
  </cols>
  <sheetData>
    <row r="1" spans="2:9" x14ac:dyDescent="0.2">
      <c r="C1" s="222" t="str">
        <f>"Page C"&amp;Page_A</f>
        <v>Page C49</v>
      </c>
      <c r="E1" s="115">
        <f>E43</f>
        <v>520000</v>
      </c>
    </row>
    <row r="2" spans="2:9" s="1" customFormat="1" ht="18" customHeight="1" x14ac:dyDescent="0.2">
      <c r="B2" s="2" t="str">
        <f>Client1</f>
        <v>Province of KwaZulu-Natal</v>
      </c>
      <c r="C2" s="3"/>
      <c r="D2" s="3"/>
      <c r="F2" s="6" t="str">
        <f>"Contract No. "&amp;ContractNo</f>
        <v>Contract No. ZNB02287/00000/00/MET/INF/24/T</v>
      </c>
      <c r="G2" s="4"/>
      <c r="I2" s="4"/>
    </row>
    <row r="3" spans="2:9" s="1" customFormat="1" ht="16.5" customHeight="1" x14ac:dyDescent="0.2">
      <c r="B3" s="81" t="str">
        <f>Client2</f>
        <v>Department of Transport</v>
      </c>
      <c r="C3" s="3"/>
      <c r="D3" s="3"/>
      <c r="E3" s="4"/>
      <c r="F3" s="4"/>
      <c r="G3" s="4"/>
      <c r="H3" s="5"/>
      <c r="I3" s="4"/>
    </row>
    <row r="4" spans="2:9" s="1" customFormat="1" ht="13.5" customHeight="1" x14ac:dyDescent="0.2">
      <c r="B4" s="167"/>
      <c r="C4" s="3"/>
      <c r="D4" s="3"/>
      <c r="E4" s="4"/>
      <c r="F4" s="4"/>
      <c r="G4" s="4"/>
      <c r="H4" s="5"/>
      <c r="I4" s="4"/>
    </row>
    <row r="5" spans="2:9" s="1" customFormat="1" ht="13.5" customHeight="1" x14ac:dyDescent="0.2">
      <c r="B5" s="256"/>
      <c r="C5" s="3"/>
      <c r="D5" s="3"/>
      <c r="E5" s="4"/>
      <c r="F5" s="4"/>
      <c r="G5" s="4"/>
      <c r="H5" s="5"/>
      <c r="I5" s="4"/>
    </row>
    <row r="6" spans="2:9" ht="12.75" customHeight="1" x14ac:dyDescent="0.2">
      <c r="B6" s="731" t="str">
        <f>'[2]1200'!B6</f>
        <v>SCHEDULE A: ROADWORKS</v>
      </c>
      <c r="C6" s="732"/>
      <c r="D6" s="732"/>
      <c r="E6" s="732"/>
    </row>
    <row r="7" spans="2:9" ht="12.75" customHeight="1" x14ac:dyDescent="0.2">
      <c r="B7" s="8"/>
      <c r="C7" s="7"/>
      <c r="D7" s="7"/>
      <c r="E7" s="7"/>
    </row>
    <row r="8" spans="2:9" ht="12.75" customHeight="1" x14ac:dyDescent="0.2">
      <c r="B8" s="733" t="s">
        <v>464</v>
      </c>
      <c r="C8" s="733"/>
      <c r="D8" s="733"/>
      <c r="E8" s="733"/>
    </row>
    <row r="9" spans="2:9" ht="12.75" customHeight="1" x14ac:dyDescent="0.2">
      <c r="B9" s="257"/>
      <c r="C9" s="257"/>
      <c r="D9" s="257"/>
      <c r="E9" s="257"/>
      <c r="F9" s="222"/>
    </row>
    <row r="10" spans="2:9" ht="25.5" customHeight="1" x14ac:dyDescent="0.2">
      <c r="B10" s="732" t="str">
        <f>ContractDescription</f>
        <v>PROVISION OF ROUTINE AND SAFETY MAINTENANCE ON MIAN ROAD P3/1 (KM 69.00 TO KM 77.96), P3/2 (KM 0.00 TO KM 11.50), P21/2(KM 0.00 TO KM 29.83 IN THE ETHEKWINI METRO - DURBAN REGION</v>
      </c>
      <c r="C10" s="732"/>
      <c r="D10" s="732"/>
      <c r="E10" s="732"/>
    </row>
    <row r="11" spans="2:9" ht="5.25" customHeight="1" thickBot="1" x14ac:dyDescent="0.25">
      <c r="B11" s="734"/>
      <c r="C11" s="734"/>
      <c r="D11" s="734"/>
      <c r="E11" s="734"/>
    </row>
    <row r="12" spans="2:9" s="12" customFormat="1" ht="24.95" customHeight="1" thickBot="1" x14ac:dyDescent="0.25">
      <c r="B12" s="173" t="s">
        <v>315</v>
      </c>
      <c r="C12" s="174" t="s">
        <v>1</v>
      </c>
      <c r="D12" s="259" t="s">
        <v>307</v>
      </c>
      <c r="E12" s="353" t="s">
        <v>5</v>
      </c>
    </row>
    <row r="13" spans="2:9" ht="21" customHeight="1" x14ac:dyDescent="0.2">
      <c r="B13" s="415" t="s">
        <v>16</v>
      </c>
      <c r="C13" s="416" t="s">
        <v>13</v>
      </c>
      <c r="D13" s="290">
        <f t="shared" ref="D13:D36" si="0">D14-G14</f>
        <v>30</v>
      </c>
      <c r="E13" s="354">
        <f>'C1.2'!G1</f>
        <v>300000</v>
      </c>
      <c r="G13" s="291">
        <v>2</v>
      </c>
    </row>
    <row r="14" spans="2:9" ht="25.5" x14ac:dyDescent="0.2">
      <c r="B14" s="417" t="s">
        <v>41</v>
      </c>
      <c r="C14" s="418" t="s">
        <v>42</v>
      </c>
      <c r="D14" s="290">
        <f t="shared" si="0"/>
        <v>31</v>
      </c>
      <c r="E14" s="354">
        <f>'C1.3'!G1</f>
        <v>0</v>
      </c>
      <c r="G14" s="292">
        <v>1</v>
      </c>
    </row>
    <row r="15" spans="2:9" ht="21" customHeight="1" x14ac:dyDescent="0.2">
      <c r="B15" s="417" t="s">
        <v>422</v>
      </c>
      <c r="C15" s="418" t="s">
        <v>52</v>
      </c>
      <c r="D15" s="290">
        <f t="shared" si="0"/>
        <v>33</v>
      </c>
      <c r="E15" s="354">
        <f>'C1.5'!G1</f>
        <v>100000</v>
      </c>
      <c r="G15" s="292">
        <v>2</v>
      </c>
    </row>
    <row r="16" spans="2:9" ht="21" customHeight="1" x14ac:dyDescent="0.2">
      <c r="B16" s="417" t="s">
        <v>69</v>
      </c>
      <c r="C16" s="418" t="str">
        <f>'[3]C1.6 '!C11</f>
        <v>CLEARING AND GRUBBING</v>
      </c>
      <c r="D16" s="290">
        <f t="shared" si="0"/>
        <v>34</v>
      </c>
      <c r="E16" s="354">
        <f>'C1.6 '!G49</f>
        <v>0</v>
      </c>
      <c r="G16" s="292">
        <v>1</v>
      </c>
    </row>
    <row r="17" spans="2:7" ht="21" customHeight="1" x14ac:dyDescent="0.2">
      <c r="B17" s="417" t="s">
        <v>81</v>
      </c>
      <c r="C17" s="418" t="s">
        <v>82</v>
      </c>
      <c r="D17" s="290">
        <f t="shared" si="0"/>
        <v>35</v>
      </c>
      <c r="E17" s="354">
        <f>'C1.7'!G1</f>
        <v>0</v>
      </c>
      <c r="G17" s="292">
        <v>1</v>
      </c>
    </row>
    <row r="18" spans="2:7" ht="21" customHeight="1" x14ac:dyDescent="0.2">
      <c r="B18" s="417" t="s">
        <v>775</v>
      </c>
      <c r="C18" s="418" t="s">
        <v>776</v>
      </c>
      <c r="D18" s="290">
        <f t="shared" si="0"/>
        <v>36</v>
      </c>
      <c r="E18" s="354">
        <f>'C2.1'!G65</f>
        <v>50000</v>
      </c>
      <c r="G18" s="292">
        <v>1</v>
      </c>
    </row>
    <row r="19" spans="2:7" ht="21" customHeight="1" x14ac:dyDescent="0.2">
      <c r="B19" s="417" t="str">
        <f>'[3]C3.1'!B11</f>
        <v>C3.1</v>
      </c>
      <c r="C19" s="418" t="str">
        <f>'[3]C3.1'!C11</f>
        <v>DRAINS</v>
      </c>
      <c r="D19" s="290">
        <f t="shared" si="0"/>
        <v>39</v>
      </c>
      <c r="E19" s="354">
        <f>'C3.1 '!G1</f>
        <v>0</v>
      </c>
      <c r="G19" s="292">
        <v>3</v>
      </c>
    </row>
    <row r="20" spans="2:7" ht="21" customHeight="1" x14ac:dyDescent="0.2">
      <c r="B20" s="417" t="s">
        <v>166</v>
      </c>
      <c r="C20" s="418" t="s">
        <v>165</v>
      </c>
      <c r="D20" s="290">
        <f t="shared" si="0"/>
        <v>42</v>
      </c>
      <c r="E20" s="354">
        <f>'C3.2'!G1</f>
        <v>0</v>
      </c>
      <c r="G20" s="292">
        <v>3</v>
      </c>
    </row>
    <row r="21" spans="2:7" ht="38.25" x14ac:dyDescent="0.2">
      <c r="B21" s="417" t="s">
        <v>123</v>
      </c>
      <c r="C21" s="418" t="s">
        <v>122</v>
      </c>
      <c r="D21" s="290">
        <f t="shared" si="0"/>
        <v>46</v>
      </c>
      <c r="E21" s="354">
        <f>'C3.3'!G138</f>
        <v>0</v>
      </c>
      <c r="G21" s="292">
        <v>4</v>
      </c>
    </row>
    <row r="22" spans="2:7" ht="21" customHeight="1" x14ac:dyDescent="0.2">
      <c r="B22" s="417" t="s">
        <v>1065</v>
      </c>
      <c r="C22" s="418" t="str">
        <f>'C4.3'!B10</f>
        <v>EXISTING ROAD MATERIALS</v>
      </c>
      <c r="D22" s="290">
        <f t="shared" si="0"/>
        <v>47</v>
      </c>
      <c r="E22" s="354">
        <f>'C4.3'!F63</f>
        <v>10000</v>
      </c>
      <c r="G22" s="292">
        <v>1</v>
      </c>
    </row>
    <row r="23" spans="2:7" ht="21" customHeight="1" x14ac:dyDescent="0.2">
      <c r="B23" s="417" t="s">
        <v>180</v>
      </c>
      <c r="C23" s="53" t="s">
        <v>179</v>
      </c>
      <c r="D23" s="290">
        <f t="shared" si="0"/>
        <v>48</v>
      </c>
      <c r="E23" s="354">
        <f>'C4.4'!F63</f>
        <v>0</v>
      </c>
      <c r="G23" s="292">
        <v>1</v>
      </c>
    </row>
    <row r="24" spans="2:7" ht="21" customHeight="1" x14ac:dyDescent="0.2">
      <c r="B24" s="417" t="s">
        <v>953</v>
      </c>
      <c r="C24" s="418" t="s">
        <v>952</v>
      </c>
      <c r="D24" s="290">
        <f t="shared" si="0"/>
        <v>49</v>
      </c>
      <c r="E24" s="354">
        <f>'C5.2'!G1</f>
        <v>0</v>
      </c>
      <c r="G24" s="292">
        <v>1</v>
      </c>
    </row>
    <row r="25" spans="2:7" ht="21" customHeight="1" x14ac:dyDescent="0.2">
      <c r="B25" s="417" t="s">
        <v>961</v>
      </c>
      <c r="C25" s="418" t="s">
        <v>962</v>
      </c>
      <c r="D25" s="290">
        <f t="shared" si="0"/>
        <v>50</v>
      </c>
      <c r="E25" s="354">
        <f>'C8.1'!G1</f>
        <v>0</v>
      </c>
      <c r="G25" s="292">
        <v>1</v>
      </c>
    </row>
    <row r="26" spans="2:7" ht="21" customHeight="1" x14ac:dyDescent="0.2">
      <c r="B26" s="417" t="s">
        <v>619</v>
      </c>
      <c r="C26" s="418" t="s">
        <v>620</v>
      </c>
      <c r="D26" s="290">
        <f t="shared" si="0"/>
        <v>51</v>
      </c>
      <c r="E26" s="354">
        <f>'C8.5'!G1</f>
        <v>0</v>
      </c>
      <c r="G26" s="292">
        <v>1</v>
      </c>
    </row>
    <row r="27" spans="2:7" ht="21" customHeight="1" x14ac:dyDescent="0.2">
      <c r="B27" s="417" t="s">
        <v>584</v>
      </c>
      <c r="C27" s="418" t="s">
        <v>585</v>
      </c>
      <c r="D27" s="290">
        <f t="shared" si="0"/>
        <v>55</v>
      </c>
      <c r="E27" s="354">
        <f>'C8.8'!G1</f>
        <v>0</v>
      </c>
      <c r="G27" s="292">
        <v>4</v>
      </c>
    </row>
    <row r="28" spans="2:7" ht="21" customHeight="1" x14ac:dyDescent="0.2">
      <c r="B28" s="417" t="s">
        <v>674</v>
      </c>
      <c r="C28" s="418" t="s">
        <v>675</v>
      </c>
      <c r="D28" s="290">
        <f>D30-G30</f>
        <v>56</v>
      </c>
      <c r="E28" s="354">
        <f>'C9.1'!G1</f>
        <v>0</v>
      </c>
      <c r="G28" s="292">
        <v>1</v>
      </c>
    </row>
    <row r="29" spans="2:7" ht="21" customHeight="1" x14ac:dyDescent="0.2">
      <c r="B29" s="417" t="s">
        <v>1159</v>
      </c>
      <c r="C29" s="418" t="s">
        <v>1160</v>
      </c>
      <c r="D29" s="290">
        <v>59</v>
      </c>
      <c r="E29" s="354">
        <f>'C10.1'!G65</f>
        <v>0</v>
      </c>
      <c r="G29" s="292"/>
    </row>
    <row r="30" spans="2:7" ht="21" customHeight="1" x14ac:dyDescent="0.2">
      <c r="B30" s="417" t="s">
        <v>198</v>
      </c>
      <c r="C30" s="418" t="str">
        <f>'C11.1'!C11</f>
        <v>PITCHING, STONEWORK, CAST IN SITU CONCRETE FOR PROTECTION AGAINST EROSION</v>
      </c>
      <c r="D30" s="290">
        <f t="shared" si="0"/>
        <v>57</v>
      </c>
      <c r="E30" s="354">
        <f>'C11.1'!G64</f>
        <v>0</v>
      </c>
      <c r="G30" s="292">
        <v>1</v>
      </c>
    </row>
    <row r="31" spans="2:7" ht="21" customHeight="1" x14ac:dyDescent="0.2">
      <c r="B31" s="417" t="s">
        <v>316</v>
      </c>
      <c r="C31" s="418" t="str">
        <f>'C11.2'!C11</f>
        <v>NON-STRUCTURAL GABIONS</v>
      </c>
      <c r="D31" s="290">
        <f t="shared" si="0"/>
        <v>59</v>
      </c>
      <c r="E31" s="354">
        <f>'C11.2'!G60</f>
        <v>0</v>
      </c>
      <c r="G31" s="292">
        <v>2</v>
      </c>
    </row>
    <row r="32" spans="2:7" ht="21" customHeight="1" x14ac:dyDescent="0.2">
      <c r="B32" s="417" t="s">
        <v>1005</v>
      </c>
      <c r="C32" s="418" t="str">
        <f>'C11.3'!C11</f>
        <v>GUIDE BLOCKS AND KILOMETRE MARKERS</v>
      </c>
      <c r="D32" s="290">
        <f t="shared" si="0"/>
        <v>60</v>
      </c>
      <c r="E32" s="354">
        <f>'C11.3'!G83</f>
        <v>0</v>
      </c>
      <c r="G32" s="292">
        <v>1</v>
      </c>
    </row>
    <row r="33" spans="2:7" ht="21" customHeight="1" x14ac:dyDescent="0.2">
      <c r="B33" s="417" t="s">
        <v>319</v>
      </c>
      <c r="C33" s="418" t="str">
        <f>'C11.4'!C11</f>
        <v>ROAD RESTRAINT SYSTEMS</v>
      </c>
      <c r="D33" s="290">
        <f t="shared" si="0"/>
        <v>63</v>
      </c>
      <c r="E33" s="354">
        <f>'C11.4'!G121</f>
        <v>0</v>
      </c>
      <c r="G33" s="292">
        <v>3</v>
      </c>
    </row>
    <row r="34" spans="2:7" ht="21" customHeight="1" x14ac:dyDescent="0.2">
      <c r="B34" s="417" t="s">
        <v>273</v>
      </c>
      <c r="C34" s="418" t="str">
        <f>'C11.6'!C11</f>
        <v>ROAD SIGNS</v>
      </c>
      <c r="D34" s="290">
        <f t="shared" si="0"/>
        <v>66</v>
      </c>
      <c r="E34" s="355">
        <f>'C11.6'!G107</f>
        <v>0</v>
      </c>
      <c r="G34" s="292">
        <v>3</v>
      </c>
    </row>
    <row r="35" spans="2:7" ht="21" customHeight="1" x14ac:dyDescent="0.2">
      <c r="B35" s="417" t="s">
        <v>298</v>
      </c>
      <c r="C35" s="418" t="str">
        <f>'C11.7'!C11</f>
        <v>ROAD MARKINGS AND ROAD STUDS</v>
      </c>
      <c r="D35" s="290">
        <f t="shared" si="0"/>
        <v>69</v>
      </c>
      <c r="E35" s="355">
        <f>'C11.7'!G93</f>
        <v>0</v>
      </c>
      <c r="G35" s="292">
        <v>3</v>
      </c>
    </row>
    <row r="36" spans="2:7" ht="21" customHeight="1" x14ac:dyDescent="0.2">
      <c r="B36" s="417" t="s">
        <v>303</v>
      </c>
      <c r="C36" s="418" t="s">
        <v>302</v>
      </c>
      <c r="D36" s="290">
        <f t="shared" si="0"/>
        <v>70</v>
      </c>
      <c r="E36" s="355">
        <f>'C11.9'!G1</f>
        <v>0</v>
      </c>
      <c r="G36" s="292">
        <v>1</v>
      </c>
    </row>
    <row r="37" spans="2:7" x14ac:dyDescent="0.2">
      <c r="B37" s="417" t="s">
        <v>683</v>
      </c>
      <c r="C37" s="418" t="str">
        <f>'C13.8'!C11</f>
        <v>ANCILLARY STRUCTURAL ELEMENTS</v>
      </c>
      <c r="D37" s="290">
        <f>D39-G39</f>
        <v>71</v>
      </c>
      <c r="E37" s="355">
        <f>'C13.8'!G64</f>
        <v>0</v>
      </c>
      <c r="G37" s="292">
        <v>1</v>
      </c>
    </row>
    <row r="38" spans="2:7" x14ac:dyDescent="0.2">
      <c r="B38" s="417" t="s">
        <v>1151</v>
      </c>
      <c r="C38" s="418" t="s">
        <v>1152</v>
      </c>
      <c r="D38" s="290"/>
      <c r="E38" s="355">
        <f>'C14'!G50</f>
        <v>0</v>
      </c>
      <c r="G38" s="292"/>
    </row>
    <row r="39" spans="2:7" ht="21" customHeight="1" x14ac:dyDescent="0.2">
      <c r="B39" s="417" t="s">
        <v>1056</v>
      </c>
      <c r="C39" s="418" t="s">
        <v>1057</v>
      </c>
      <c r="D39" s="290">
        <f>D40-G40</f>
        <v>72</v>
      </c>
      <c r="E39" s="355">
        <f>'C20.1'!G63</f>
        <v>60000</v>
      </c>
      <c r="G39" s="292">
        <v>1</v>
      </c>
    </row>
    <row r="40" spans="2:7" ht="21" customHeight="1" x14ac:dyDescent="0.2">
      <c r="B40" s="569" t="s">
        <v>1053</v>
      </c>
      <c r="C40" s="570" t="str">
        <f>'PSC15.1'!C12</f>
        <v xml:space="preserve">CHEMICAL CONTROL OF UNDESIRABLE VEGETATION </v>
      </c>
      <c r="D40" s="290">
        <v>73</v>
      </c>
      <c r="E40" s="355">
        <f>'PSC15.1'!G71</f>
        <v>0</v>
      </c>
      <c r="G40" s="292">
        <v>1</v>
      </c>
    </row>
    <row r="41" spans="2:7" ht="21" customHeight="1" x14ac:dyDescent="0.2">
      <c r="B41" s="417"/>
      <c r="C41" s="571"/>
      <c r="D41" s="290"/>
      <c r="E41" s="572"/>
      <c r="G41" s="292"/>
    </row>
    <row r="42" spans="2:7" ht="9" customHeight="1" thickBot="1" x14ac:dyDescent="0.25">
      <c r="B42" s="286"/>
      <c r="C42" s="287"/>
      <c r="D42" s="288"/>
      <c r="E42" s="355"/>
      <c r="G42" s="12"/>
    </row>
    <row r="43" spans="2:7" ht="23.45" customHeight="1" thickBot="1" x14ac:dyDescent="0.25">
      <c r="B43" s="261" t="str" cm="1">
        <f t="array" ref="B43">"TOTAL CARRIED FORWARD TO SUMMARY (Page C"&amp;_Summary&amp;")"</f>
        <v>TOTAL CARRIED FORWARD TO SUMMARY (Page C55)</v>
      </c>
      <c r="C43" s="262"/>
      <c r="D43" s="262"/>
      <c r="E43" s="356">
        <f>SUM(E13:E42)</f>
        <v>520000</v>
      </c>
    </row>
    <row r="44" spans="2:7" x14ac:dyDescent="0.2">
      <c r="E44" s="223"/>
    </row>
    <row r="47" spans="2:7" x14ac:dyDescent="0.2">
      <c r="C47" s="80"/>
    </row>
    <row r="84" spans="2:7" x14ac:dyDescent="0.2">
      <c r="B84" s="257"/>
      <c r="C84" s="257"/>
      <c r="D84" s="257"/>
      <c r="E84" s="257"/>
      <c r="F84" s="222"/>
      <c r="G84" s="222"/>
    </row>
    <row r="182" spans="2:7" x14ac:dyDescent="0.2">
      <c r="B182" s="257"/>
      <c r="C182" s="257"/>
      <c r="D182" s="257"/>
      <c r="E182" s="257"/>
      <c r="F182" s="222"/>
      <c r="G182" s="222"/>
    </row>
  </sheetData>
  <mergeCells count="4">
    <mergeCell ref="B6:E6"/>
    <mergeCell ref="B8:E8"/>
    <mergeCell ref="B11:E11"/>
    <mergeCell ref="B10:E10"/>
  </mergeCells>
  <phoneticPr fontId="14" type="noConversion"/>
  <pageMargins left="0.62992125984251968" right="0.43307086614173229" top="0.62992125984251968" bottom="0.55118110236220474" header="0.51181102362204722" footer="0.31496062992125984"/>
  <pageSetup paperSize="9" scale="85"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35342A1C-6C54-4018-9CEE-B938E59D3ABC}">
            <xm:f>AND(Information!$C$8=FALSE,$D13&lt;&gt;"P C Sum",$D13&lt;&gt;"PC Sum",$D13&lt;&gt;"P Sum",$D13&lt;&gt;"Prov Sum")</xm:f>
            <x14:dxf>
              <font>
                <strike val="0"/>
                <color theme="0"/>
              </font>
              <numFmt numFmtId="4" formatCode="#,##0.00"/>
            </x14:dxf>
          </x14:cfRule>
          <xm:sqref>E13:E16 E42:E43 E22:E33</xm:sqref>
        </x14:conditionalFormatting>
        <x14:conditionalFormatting xmlns:xm="http://schemas.microsoft.com/office/excel/2006/main">
          <x14:cfRule type="expression" priority="2" id="{702C85B0-8957-4D05-A9FC-F9BEEBA5F270}">
            <xm:f>AND(Information!$C$8=FALSE,$D17&lt;&gt;"P C Sum",$D17&lt;&gt;"PC Sum",$D17&lt;&gt;"P Sum",$D17&lt;&gt;"Prov Sum")</xm:f>
            <x14:dxf>
              <font>
                <strike val="0"/>
                <color theme="0"/>
              </font>
              <numFmt numFmtId="4" formatCode="#,##0.00"/>
            </x14:dxf>
          </x14:cfRule>
          <xm:sqref>E17:E21</xm:sqref>
        </x14:conditionalFormatting>
        <x14:conditionalFormatting xmlns:xm="http://schemas.microsoft.com/office/excel/2006/main">
          <x14:cfRule type="expression" priority="14" id="{35342A1C-6C54-4018-9CEE-B938E59D3ABC}">
            <xm:f>AND(Information!$C$8=FALSE,$D35&lt;&gt;"P C Sum",$D35&lt;&gt;"PC Sum",$D35&lt;&gt;"P Sum",$D35&lt;&gt;"Prov Sum")</xm:f>
            <x14:dxf>
              <font>
                <strike val="0"/>
                <color theme="0"/>
              </font>
              <numFmt numFmtId="4" formatCode="#,##0.00"/>
            </x14:dxf>
          </x14:cfRule>
          <xm:sqref>E34:E35 E40</xm:sqref>
        </x14:conditionalFormatting>
        <x14:conditionalFormatting xmlns:xm="http://schemas.microsoft.com/office/excel/2006/main">
          <x14:cfRule type="expression" priority="16" id="{35342A1C-6C54-4018-9CEE-B938E59D3ABC}">
            <xm:f>AND(Information!$C$8=FALSE,$D40&lt;&gt;"P C Sum",$D40&lt;&gt;"PC Sum",$D40&lt;&gt;"P Sum",$D40&lt;&gt;"Prov Sum")</xm:f>
            <x14:dxf>
              <font>
                <strike val="0"/>
                <color theme="0"/>
              </font>
              <numFmt numFmtId="4" formatCode="#,##0.00"/>
            </x14:dxf>
          </x14:cfRule>
          <xm:sqref>E36</xm:sqref>
        </x14:conditionalFormatting>
        <x14:conditionalFormatting xmlns:xm="http://schemas.microsoft.com/office/excel/2006/main">
          <x14:cfRule type="expression" priority="17" id="{35342A1C-6C54-4018-9CEE-B938E59D3ABC}">
            <xm:f>AND(Information!$C$8=FALSE,#REF!&lt;&gt;"P C Sum",#REF!&lt;&gt;"PC Sum",#REF!&lt;&gt;"P Sum",#REF!&lt;&gt;"Prov Sum")</xm:f>
            <x14:dxf>
              <font>
                <strike val="0"/>
                <color theme="0"/>
              </font>
              <numFmt numFmtId="4" formatCode="#,##0.00"/>
            </x14:dxf>
          </x14:cfRule>
          <xm:sqref>E37:E39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FEB-7192-412E-8F11-FDF179FD734E}">
  <dimension ref="B1:H66"/>
  <sheetViews>
    <sheetView view="pageBreakPreview" topLeftCell="C34" zoomScaleNormal="125" zoomScaleSheetLayoutView="100" zoomScalePageLayoutView="125" workbookViewId="0">
      <selection activeCell="L67" sqref="L67"/>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1" spans="2:8" x14ac:dyDescent="0.2">
      <c r="G1" s="5">
        <f>MAX(G9:G498)</f>
        <v>605000</v>
      </c>
    </row>
    <row r="2" spans="2:8" x14ac:dyDescent="0.2">
      <c r="B2" s="2" t="str">
        <f>Client1</f>
        <v>Province of KwaZulu-Natal</v>
      </c>
      <c r="E2" s="703" t="str">
        <f>"Contract No. "&amp;ContractNo</f>
        <v>Contract No. ZNB02287/00000/00/MET/INF/24/T</v>
      </c>
      <c r="F2" s="703"/>
      <c r="G2" s="703"/>
    </row>
    <row r="3" spans="2:8" x14ac:dyDescent="0.2">
      <c r="B3" s="81" t="str">
        <f>Client2</f>
        <v>Department of Transport</v>
      </c>
    </row>
    <row r="4" spans="2:8" x14ac:dyDescent="0.2">
      <c r="B4" s="71"/>
      <c r="C4" s="71"/>
      <c r="D4" s="72"/>
      <c r="E4" s="72"/>
      <c r="F4" s="73"/>
      <c r="G4" s="82"/>
    </row>
    <row r="5" spans="2:8" x14ac:dyDescent="0.2">
      <c r="B5" s="698" t="s">
        <v>372</v>
      </c>
      <c r="C5" s="699"/>
      <c r="D5" s="699"/>
      <c r="E5" s="699"/>
      <c r="F5" s="699"/>
      <c r="G5" s="738" t="str">
        <f>"CHAPTER "&amp;B11</f>
        <v>CHAPTER E</v>
      </c>
      <c r="H5" s="6"/>
    </row>
    <row r="6" spans="2:8"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739"/>
      <c r="H6" s="8"/>
    </row>
    <row r="7" spans="2:8" ht="12.75" customHeight="1" x14ac:dyDescent="0.2">
      <c r="B7" s="691"/>
      <c r="C7" s="692"/>
      <c r="D7" s="692"/>
      <c r="E7" s="692"/>
      <c r="F7" s="692"/>
      <c r="G7" s="739"/>
      <c r="H7" s="8"/>
    </row>
    <row r="8" spans="2:8" ht="7.5" customHeight="1" x14ac:dyDescent="0.2">
      <c r="B8" s="693"/>
      <c r="C8" s="694"/>
      <c r="D8" s="694"/>
      <c r="E8" s="694"/>
      <c r="F8" s="694"/>
      <c r="G8" s="740"/>
      <c r="H8" s="8"/>
    </row>
    <row r="9" spans="2:8" s="9" customFormat="1" ht="24.95" customHeight="1" x14ac:dyDescent="0.2">
      <c r="B9" s="10" t="s">
        <v>0</v>
      </c>
      <c r="C9" s="11" t="s">
        <v>1</v>
      </c>
      <c r="D9" s="11" t="s">
        <v>2</v>
      </c>
      <c r="E9" s="11" t="s">
        <v>3</v>
      </c>
      <c r="F9" s="11" t="s">
        <v>4</v>
      </c>
      <c r="G9" s="11" t="s">
        <v>5</v>
      </c>
      <c r="H9" s="12"/>
    </row>
    <row r="10" spans="2:8" x14ac:dyDescent="0.2">
      <c r="B10" s="13"/>
      <c r="C10" s="14"/>
      <c r="D10" s="15"/>
      <c r="E10" s="15"/>
      <c r="F10" s="16"/>
      <c r="G10" s="17" t="str">
        <f t="shared" ref="G10:G41" si="0">IF(D10="","",E10*F10)</f>
        <v/>
      </c>
      <c r="H10" s="18"/>
    </row>
    <row r="11" spans="2:8" ht="25.5" x14ac:dyDescent="0.2">
      <c r="B11" s="67" t="s">
        <v>348</v>
      </c>
      <c r="C11" s="20" t="s">
        <v>304</v>
      </c>
      <c r="D11" s="22"/>
      <c r="E11" s="22"/>
      <c r="F11" s="41"/>
      <c r="G11" s="17" t="str">
        <f t="shared" si="0"/>
        <v/>
      </c>
      <c r="H11" s="42"/>
    </row>
    <row r="12" spans="2:8" x14ac:dyDescent="0.2">
      <c r="B12" s="51"/>
      <c r="C12" s="14"/>
      <c r="D12" s="22"/>
      <c r="E12" s="22"/>
      <c r="F12" s="41"/>
      <c r="G12" s="17" t="str">
        <f t="shared" si="0"/>
        <v/>
      </c>
      <c r="H12" s="42"/>
    </row>
    <row r="13" spans="2:8" ht="25.5" x14ac:dyDescent="0.2">
      <c r="B13" s="51" t="s">
        <v>357</v>
      </c>
      <c r="C13" s="14" t="s">
        <v>305</v>
      </c>
      <c r="D13" s="22" t="s">
        <v>11</v>
      </c>
      <c r="E13" s="238">
        <v>1</v>
      </c>
      <c r="F13" s="16"/>
      <c r="G13" s="25">
        <f t="shared" si="0"/>
        <v>0</v>
      </c>
      <c r="H13" s="42"/>
    </row>
    <row r="14" spans="2:8" x14ac:dyDescent="0.2">
      <c r="B14" s="67"/>
      <c r="C14" s="14"/>
      <c r="D14" s="22"/>
      <c r="E14" s="239"/>
      <c r="F14" s="16"/>
      <c r="G14" s="25" t="str">
        <f t="shared" si="0"/>
        <v/>
      </c>
      <c r="H14" s="42"/>
    </row>
    <row r="15" spans="2:8" ht="25.5" x14ac:dyDescent="0.2">
      <c r="B15" s="51" t="s">
        <v>349</v>
      </c>
      <c r="C15" s="14" t="s">
        <v>339</v>
      </c>
      <c r="D15" s="22"/>
      <c r="E15" s="239"/>
      <c r="F15" s="16"/>
      <c r="G15" s="25" t="str">
        <f t="shared" si="0"/>
        <v/>
      </c>
      <c r="H15" s="43"/>
    </row>
    <row r="16" spans="2:8" x14ac:dyDescent="0.2">
      <c r="B16" s="67"/>
      <c r="C16" s="14"/>
      <c r="D16" s="22"/>
      <c r="E16" s="239"/>
      <c r="F16" s="16"/>
      <c r="G16" s="25" t="str">
        <f t="shared" si="0"/>
        <v/>
      </c>
      <c r="H16" s="43"/>
    </row>
    <row r="17" spans="2:8" x14ac:dyDescent="0.2">
      <c r="B17" s="51" t="s">
        <v>34</v>
      </c>
      <c r="C17" s="14" t="s">
        <v>328</v>
      </c>
      <c r="D17" s="22"/>
      <c r="E17" s="239"/>
      <c r="F17" s="16"/>
      <c r="G17" s="25" t="str">
        <f t="shared" si="0"/>
        <v/>
      </c>
      <c r="H17" s="43"/>
    </row>
    <row r="18" spans="2:8" x14ac:dyDescent="0.2">
      <c r="B18" s="67"/>
      <c r="C18" s="14"/>
      <c r="D18" s="22"/>
      <c r="E18" s="239"/>
      <c r="F18" s="16"/>
      <c r="G18" s="25" t="str">
        <f t="shared" si="0"/>
        <v/>
      </c>
      <c r="H18" s="43"/>
    </row>
    <row r="19" spans="2:8" x14ac:dyDescent="0.2">
      <c r="B19" s="51" t="s">
        <v>66</v>
      </c>
      <c r="C19" s="14" t="s">
        <v>326</v>
      </c>
      <c r="D19" s="22" t="s">
        <v>170</v>
      </c>
      <c r="E19" s="240">
        <v>80000</v>
      </c>
      <c r="F19" s="16">
        <v>1</v>
      </c>
      <c r="G19" s="25">
        <f t="shared" si="0"/>
        <v>80000</v>
      </c>
      <c r="H19" s="42"/>
    </row>
    <row r="20" spans="2:8" x14ac:dyDescent="0.2">
      <c r="B20" s="51"/>
      <c r="C20" s="14"/>
      <c r="D20" s="22"/>
      <c r="E20" s="240"/>
      <c r="F20" s="16"/>
      <c r="G20" s="25" t="str">
        <f t="shared" si="0"/>
        <v/>
      </c>
      <c r="H20" s="42"/>
    </row>
    <row r="21" spans="2:8" ht="25.5" x14ac:dyDescent="0.2">
      <c r="B21" s="51" t="s">
        <v>67</v>
      </c>
      <c r="C21" s="14" t="s">
        <v>350</v>
      </c>
      <c r="D21" s="22" t="s">
        <v>25</v>
      </c>
      <c r="E21" s="240">
        <f>G19</f>
        <v>80000</v>
      </c>
      <c r="F21" s="16"/>
      <c r="G21" s="25">
        <f t="shared" si="0"/>
        <v>0</v>
      </c>
    </row>
    <row r="22" spans="2:8" x14ac:dyDescent="0.2">
      <c r="B22" s="51"/>
      <c r="C22" s="1"/>
      <c r="D22" s="22"/>
      <c r="E22" s="240"/>
      <c r="F22" s="16"/>
      <c r="G22" s="25" t="str">
        <f t="shared" si="0"/>
        <v/>
      </c>
    </row>
    <row r="23" spans="2:8" x14ac:dyDescent="0.2">
      <c r="B23" s="51" t="s">
        <v>35</v>
      </c>
      <c r="C23" s="14" t="s">
        <v>327</v>
      </c>
      <c r="D23" s="22"/>
      <c r="E23" s="240"/>
      <c r="F23" s="16"/>
      <c r="G23" s="25" t="str">
        <f t="shared" si="0"/>
        <v/>
      </c>
    </row>
    <row r="24" spans="2:8" x14ac:dyDescent="0.2">
      <c r="B24" s="51"/>
      <c r="C24" s="14"/>
      <c r="D24" s="22"/>
      <c r="E24" s="240"/>
      <c r="F24" s="16"/>
      <c r="G24" s="25" t="str">
        <f t="shared" si="0"/>
        <v/>
      </c>
    </row>
    <row r="25" spans="2:8" x14ac:dyDescent="0.2">
      <c r="B25" s="51" t="s">
        <v>101</v>
      </c>
      <c r="C25" s="14" t="s">
        <v>326</v>
      </c>
      <c r="D25" s="22" t="s">
        <v>170</v>
      </c>
      <c r="E25" s="240">
        <v>80000</v>
      </c>
      <c r="F25" s="16">
        <v>1</v>
      </c>
      <c r="G25" s="25">
        <f t="shared" si="0"/>
        <v>80000</v>
      </c>
    </row>
    <row r="26" spans="2:8" x14ac:dyDescent="0.2">
      <c r="B26" s="51"/>
      <c r="C26" s="14"/>
      <c r="D26" s="22"/>
      <c r="E26" s="240"/>
      <c r="F26" s="16"/>
      <c r="G26" s="25" t="str">
        <f t="shared" si="0"/>
        <v/>
      </c>
    </row>
    <row r="27" spans="2:8" ht="25.5" x14ac:dyDescent="0.2">
      <c r="B27" s="51" t="s">
        <v>102</v>
      </c>
      <c r="C27" s="14" t="s">
        <v>351</v>
      </c>
      <c r="D27" s="22" t="s">
        <v>25</v>
      </c>
      <c r="E27" s="240">
        <f>E25</f>
        <v>80000</v>
      </c>
      <c r="F27" s="16"/>
      <c r="G27" s="25">
        <f t="shared" si="0"/>
        <v>0</v>
      </c>
      <c r="H27" s="43"/>
    </row>
    <row r="28" spans="2:8" x14ac:dyDescent="0.2">
      <c r="B28" s="51"/>
      <c r="C28" s="14"/>
      <c r="D28" s="22"/>
      <c r="E28" s="240"/>
      <c r="F28" s="16"/>
      <c r="G28" s="25" t="str">
        <f t="shared" si="0"/>
        <v/>
      </c>
      <c r="H28" s="18"/>
    </row>
    <row r="29" spans="2:8" s="38" customFormat="1" x14ac:dyDescent="0.2">
      <c r="B29" s="51" t="s">
        <v>36</v>
      </c>
      <c r="C29" s="14" t="s">
        <v>329</v>
      </c>
      <c r="D29" s="22"/>
      <c r="E29" s="240"/>
      <c r="F29" s="16"/>
      <c r="G29" s="25" t="str">
        <f t="shared" si="0"/>
        <v/>
      </c>
      <c r="H29" s="18"/>
    </row>
    <row r="30" spans="2:8" x14ac:dyDescent="0.2">
      <c r="B30" s="51"/>
      <c r="C30" s="14"/>
      <c r="D30" s="22"/>
      <c r="E30" s="240"/>
      <c r="F30" s="16"/>
      <c r="G30" s="25" t="str">
        <f t="shared" si="0"/>
        <v/>
      </c>
      <c r="H30" s="43"/>
    </row>
    <row r="31" spans="2:8" x14ac:dyDescent="0.2">
      <c r="B31" s="51" t="s">
        <v>105</v>
      </c>
      <c r="C31" s="14" t="s">
        <v>326</v>
      </c>
      <c r="D31" s="22" t="s">
        <v>170</v>
      </c>
      <c r="E31" s="240">
        <v>80000</v>
      </c>
      <c r="F31" s="16">
        <v>1</v>
      </c>
      <c r="G31" s="25">
        <f t="shared" si="0"/>
        <v>80000</v>
      </c>
      <c r="H31" s="43"/>
    </row>
    <row r="32" spans="2:8" x14ac:dyDescent="0.2">
      <c r="B32" s="51"/>
      <c r="C32" s="14"/>
      <c r="D32" s="22"/>
      <c r="E32" s="240"/>
      <c r="F32" s="16"/>
      <c r="G32" s="25" t="str">
        <f t="shared" si="0"/>
        <v/>
      </c>
      <c r="H32" s="42"/>
    </row>
    <row r="33" spans="2:8" ht="25.5" x14ac:dyDescent="0.2">
      <c r="B33" s="51" t="s">
        <v>106</v>
      </c>
      <c r="C33" s="14" t="s">
        <v>352</v>
      </c>
      <c r="D33" s="22" t="s">
        <v>25</v>
      </c>
      <c r="E33" s="240">
        <f>E31</f>
        <v>80000</v>
      </c>
      <c r="F33" s="16"/>
      <c r="G33" s="25">
        <f t="shared" si="0"/>
        <v>0</v>
      </c>
      <c r="H33" s="42"/>
    </row>
    <row r="34" spans="2:8" x14ac:dyDescent="0.2">
      <c r="B34" s="51"/>
      <c r="C34" s="14"/>
      <c r="D34" s="22"/>
      <c r="E34" s="240"/>
      <c r="F34" s="16"/>
      <c r="G34" s="25" t="str">
        <f t="shared" si="0"/>
        <v/>
      </c>
      <c r="H34" s="42"/>
    </row>
    <row r="35" spans="2:8" ht="27.75" customHeight="1" x14ac:dyDescent="0.2">
      <c r="B35" s="51" t="s">
        <v>37</v>
      </c>
      <c r="C35" s="14" t="s">
        <v>341</v>
      </c>
      <c r="D35" s="22"/>
      <c r="E35" s="240"/>
      <c r="F35" s="16"/>
      <c r="G35" s="25" t="str">
        <f t="shared" si="0"/>
        <v/>
      </c>
      <c r="H35" s="42"/>
    </row>
    <row r="36" spans="2:8" x14ac:dyDescent="0.2">
      <c r="B36" s="51"/>
      <c r="C36" s="14"/>
      <c r="D36" s="22"/>
      <c r="E36" s="240"/>
      <c r="F36" s="16"/>
      <c r="G36" s="25" t="str">
        <f t="shared" si="0"/>
        <v/>
      </c>
      <c r="H36" s="42"/>
    </row>
    <row r="37" spans="2:8" x14ac:dyDescent="0.2">
      <c r="B37" s="51" t="s">
        <v>107</v>
      </c>
      <c r="C37" s="14" t="s">
        <v>342</v>
      </c>
      <c r="D37" s="22" t="s">
        <v>170</v>
      </c>
      <c r="E37" s="240">
        <v>50000</v>
      </c>
      <c r="F37" s="16">
        <v>1</v>
      </c>
      <c r="G37" s="25">
        <f t="shared" si="0"/>
        <v>50000</v>
      </c>
      <c r="H37" s="42"/>
    </row>
    <row r="38" spans="2:8" x14ac:dyDescent="0.2">
      <c r="B38" s="51"/>
      <c r="C38" s="14"/>
      <c r="D38" s="22"/>
      <c r="E38" s="240"/>
      <c r="F38" s="16"/>
      <c r="G38" s="25" t="str">
        <f t="shared" si="0"/>
        <v/>
      </c>
      <c r="H38" s="42"/>
    </row>
    <row r="39" spans="2:8" ht="25.5" x14ac:dyDescent="0.2">
      <c r="B39" s="51" t="s">
        <v>330</v>
      </c>
      <c r="C39" s="14" t="s">
        <v>353</v>
      </c>
      <c r="D39" s="22" t="s">
        <v>25</v>
      </c>
      <c r="E39" s="240">
        <f>E37</f>
        <v>50000</v>
      </c>
      <c r="F39" s="16"/>
      <c r="G39" s="25">
        <f t="shared" si="0"/>
        <v>0</v>
      </c>
      <c r="H39" s="42"/>
    </row>
    <row r="40" spans="2:8" x14ac:dyDescent="0.2">
      <c r="B40" s="51"/>
      <c r="C40" s="14"/>
      <c r="D40" s="22"/>
      <c r="E40" s="240"/>
      <c r="F40" s="16"/>
      <c r="G40" s="25" t="str">
        <f t="shared" si="0"/>
        <v/>
      </c>
      <c r="H40" s="42"/>
    </row>
    <row r="41" spans="2:8" x14ac:dyDescent="0.2">
      <c r="B41" s="51" t="s">
        <v>354</v>
      </c>
      <c r="C41" s="14" t="s">
        <v>343</v>
      </c>
      <c r="D41" s="22"/>
      <c r="E41" s="240"/>
      <c r="F41" s="16"/>
      <c r="G41" s="25" t="str">
        <f t="shared" si="0"/>
        <v/>
      </c>
      <c r="H41" s="42"/>
    </row>
    <row r="42" spans="2:8" x14ac:dyDescent="0.2">
      <c r="B42" s="51"/>
      <c r="C42" s="14"/>
      <c r="D42" s="22"/>
      <c r="E42" s="240"/>
      <c r="F42" s="16"/>
      <c r="G42" s="25" t="str">
        <f t="shared" ref="G42:G65" si="1">IF(D42="","",E42*F42)</f>
        <v/>
      </c>
      <c r="H42" s="42"/>
    </row>
    <row r="43" spans="2:8" x14ac:dyDescent="0.2">
      <c r="B43" s="51" t="s">
        <v>34</v>
      </c>
      <c r="C43" s="14" t="s">
        <v>344</v>
      </c>
      <c r="D43" s="22" t="s">
        <v>170</v>
      </c>
      <c r="E43" s="240">
        <v>120000</v>
      </c>
      <c r="F43" s="16">
        <v>1</v>
      </c>
      <c r="G43" s="25">
        <f t="shared" si="1"/>
        <v>120000</v>
      </c>
      <c r="H43" s="42"/>
    </row>
    <row r="44" spans="2:8" x14ac:dyDescent="0.2">
      <c r="B44" s="51"/>
      <c r="C44" s="14"/>
      <c r="D44" s="22"/>
      <c r="E44" s="240"/>
      <c r="F44" s="16"/>
      <c r="G44" s="25" t="str">
        <f t="shared" si="1"/>
        <v/>
      </c>
      <c r="H44" s="42"/>
    </row>
    <row r="45" spans="2:8" x14ac:dyDescent="0.2">
      <c r="B45" s="51" t="s">
        <v>35</v>
      </c>
      <c r="C45" s="14" t="s">
        <v>333</v>
      </c>
      <c r="D45" s="22" t="s">
        <v>170</v>
      </c>
      <c r="E45" s="240">
        <v>25000</v>
      </c>
      <c r="F45" s="16">
        <v>1</v>
      </c>
      <c r="G45" s="25">
        <f t="shared" si="1"/>
        <v>25000</v>
      </c>
      <c r="H45" s="42"/>
    </row>
    <row r="46" spans="2:8" x14ac:dyDescent="0.2">
      <c r="B46" s="51"/>
      <c r="C46" s="14"/>
      <c r="D46" s="22"/>
      <c r="E46" s="240"/>
      <c r="F46" s="16"/>
      <c r="G46" s="25" t="str">
        <f t="shared" si="1"/>
        <v/>
      </c>
      <c r="H46" s="42"/>
    </row>
    <row r="47" spans="2:8" ht="25.5" x14ac:dyDescent="0.2">
      <c r="B47" s="51" t="s">
        <v>40</v>
      </c>
      <c r="C47" s="14" t="s">
        <v>355</v>
      </c>
      <c r="D47" s="22" t="s">
        <v>25</v>
      </c>
      <c r="E47" s="240">
        <v>105000</v>
      </c>
      <c r="F47" s="16"/>
      <c r="G47" s="25">
        <f t="shared" si="1"/>
        <v>0</v>
      </c>
      <c r="H47" s="42"/>
    </row>
    <row r="48" spans="2:8" x14ac:dyDescent="0.2">
      <c r="B48" s="51"/>
      <c r="C48" s="14"/>
      <c r="D48" s="22"/>
      <c r="E48" s="240"/>
      <c r="F48" s="16"/>
      <c r="G48" s="25" t="str">
        <f t="shared" si="1"/>
        <v/>
      </c>
      <c r="H48" s="42"/>
    </row>
    <row r="49" spans="2:8" x14ac:dyDescent="0.2">
      <c r="B49" s="51" t="s">
        <v>37</v>
      </c>
      <c r="C49" s="14" t="s">
        <v>345</v>
      </c>
      <c r="D49" s="22"/>
      <c r="E49" s="240"/>
      <c r="F49" s="16"/>
      <c r="G49" s="25" t="str">
        <f t="shared" si="1"/>
        <v/>
      </c>
      <c r="H49" s="42"/>
    </row>
    <row r="50" spans="2:8" x14ac:dyDescent="0.2">
      <c r="B50" s="51"/>
      <c r="C50" s="14"/>
      <c r="D50" s="22"/>
      <c r="E50" s="240"/>
      <c r="F50" s="16"/>
      <c r="G50" s="25" t="str">
        <f t="shared" si="1"/>
        <v/>
      </c>
      <c r="H50" s="42"/>
    </row>
    <row r="51" spans="2:8" x14ac:dyDescent="0.2">
      <c r="B51" s="51" t="s">
        <v>107</v>
      </c>
      <c r="C51" s="14" t="s">
        <v>346</v>
      </c>
      <c r="D51" s="22" t="s">
        <v>170</v>
      </c>
      <c r="E51" s="240">
        <v>100000</v>
      </c>
      <c r="F51" s="16">
        <v>1</v>
      </c>
      <c r="G51" s="25">
        <f t="shared" si="1"/>
        <v>100000</v>
      </c>
      <c r="H51" s="42"/>
    </row>
    <row r="52" spans="2:8" x14ac:dyDescent="0.2">
      <c r="B52" s="51"/>
      <c r="C52" s="14"/>
      <c r="D52" s="22"/>
      <c r="E52" s="240"/>
      <c r="F52" s="16"/>
      <c r="G52" s="25" t="str">
        <f t="shared" si="1"/>
        <v/>
      </c>
      <c r="H52" s="42"/>
    </row>
    <row r="53" spans="2:8" ht="25.5" x14ac:dyDescent="0.2">
      <c r="B53" s="51" t="s">
        <v>330</v>
      </c>
      <c r="C53" s="14" t="s">
        <v>356</v>
      </c>
      <c r="D53" s="22" t="s">
        <v>25</v>
      </c>
      <c r="E53" s="240">
        <v>100000</v>
      </c>
      <c r="F53" s="16"/>
      <c r="G53" s="25">
        <f t="shared" si="1"/>
        <v>0</v>
      </c>
      <c r="H53" s="42"/>
    </row>
    <row r="54" spans="2:8" x14ac:dyDescent="0.2">
      <c r="B54" s="51"/>
      <c r="C54" s="14"/>
      <c r="D54" s="39"/>
      <c r="E54" s="240"/>
      <c r="F54" s="16"/>
      <c r="G54" s="25" t="str">
        <f t="shared" si="1"/>
        <v/>
      </c>
    </row>
    <row r="55" spans="2:8" ht="25.5" x14ac:dyDescent="0.2">
      <c r="B55" s="51" t="s">
        <v>38</v>
      </c>
      <c r="C55" s="14" t="s">
        <v>334</v>
      </c>
      <c r="D55" s="22"/>
      <c r="E55" s="240"/>
      <c r="F55" s="16"/>
      <c r="G55" s="25" t="str">
        <f t="shared" si="1"/>
        <v/>
      </c>
      <c r="H55" s="42"/>
    </row>
    <row r="56" spans="2:8" x14ac:dyDescent="0.2">
      <c r="B56" s="51"/>
      <c r="C56" s="14"/>
      <c r="D56" s="22"/>
      <c r="E56" s="240"/>
      <c r="F56" s="16"/>
      <c r="G56" s="25" t="str">
        <f t="shared" si="1"/>
        <v/>
      </c>
      <c r="H56" s="50"/>
    </row>
    <row r="57" spans="2:8" x14ac:dyDescent="0.2">
      <c r="B57" s="51" t="s">
        <v>331</v>
      </c>
      <c r="C57" s="14" t="s">
        <v>347</v>
      </c>
      <c r="D57" s="22" t="s">
        <v>306</v>
      </c>
      <c r="E57" s="240">
        <v>90</v>
      </c>
      <c r="F57" s="16"/>
      <c r="G57" s="25">
        <f t="shared" si="1"/>
        <v>0</v>
      </c>
    </row>
    <row r="58" spans="2:8" x14ac:dyDescent="0.2">
      <c r="B58" s="51"/>
      <c r="C58" s="14"/>
      <c r="D58" s="22"/>
      <c r="E58" s="240"/>
      <c r="F58" s="16"/>
      <c r="G58" s="25" t="str">
        <f t="shared" si="1"/>
        <v/>
      </c>
      <c r="H58" s="42"/>
    </row>
    <row r="59" spans="2:8" x14ac:dyDescent="0.2">
      <c r="B59" s="51" t="s">
        <v>332</v>
      </c>
      <c r="C59" s="14" t="s">
        <v>335</v>
      </c>
      <c r="D59" s="22" t="s">
        <v>306</v>
      </c>
      <c r="E59" s="240">
        <v>270</v>
      </c>
      <c r="F59" s="16"/>
      <c r="G59" s="25">
        <f t="shared" si="1"/>
        <v>0</v>
      </c>
      <c r="H59" s="42"/>
    </row>
    <row r="60" spans="2:8" ht="6.95" customHeight="1" x14ac:dyDescent="0.2">
      <c r="B60" s="51"/>
      <c r="C60" s="14"/>
      <c r="D60" s="22"/>
      <c r="E60" s="240"/>
      <c r="F60" s="16"/>
      <c r="G60" s="25" t="str">
        <f t="shared" si="1"/>
        <v/>
      </c>
      <c r="H60" s="42"/>
    </row>
    <row r="61" spans="2:8" x14ac:dyDescent="0.2">
      <c r="B61" s="51" t="s">
        <v>39</v>
      </c>
      <c r="C61" s="241" t="s">
        <v>457</v>
      </c>
      <c r="D61" s="239"/>
      <c r="E61" s="240"/>
      <c r="F61" s="16"/>
      <c r="G61" s="25" t="str">
        <f t="shared" si="1"/>
        <v/>
      </c>
      <c r="H61" s="42"/>
    </row>
    <row r="62" spans="2:8" ht="8.4499999999999993" customHeight="1" x14ac:dyDescent="0.2">
      <c r="B62" s="51"/>
      <c r="C62" s="241"/>
      <c r="D62" s="239"/>
      <c r="E62" s="240"/>
      <c r="F62" s="16"/>
      <c r="G62" s="25" t="str">
        <f t="shared" si="1"/>
        <v/>
      </c>
      <c r="H62" s="42"/>
    </row>
    <row r="63" spans="2:8" x14ac:dyDescent="0.2">
      <c r="B63" s="51"/>
      <c r="C63" s="242" t="s">
        <v>455</v>
      </c>
      <c r="D63" s="239" t="s">
        <v>171</v>
      </c>
      <c r="E63" s="240">
        <v>70000</v>
      </c>
      <c r="F63" s="16">
        <v>1</v>
      </c>
      <c r="G63" s="25">
        <f t="shared" si="1"/>
        <v>70000</v>
      </c>
      <c r="H63" s="42"/>
    </row>
    <row r="64" spans="2:8" x14ac:dyDescent="0.2">
      <c r="B64" s="51"/>
      <c r="C64" s="241"/>
      <c r="D64" s="239"/>
      <c r="E64" s="240"/>
      <c r="F64" s="16"/>
      <c r="G64" s="25" t="str">
        <f t="shared" si="1"/>
        <v/>
      </c>
      <c r="H64" s="42"/>
    </row>
    <row r="65" spans="2:8" ht="24" x14ac:dyDescent="0.2">
      <c r="B65" s="51"/>
      <c r="C65" s="242" t="s">
        <v>456</v>
      </c>
      <c r="D65" s="239" t="s">
        <v>25</v>
      </c>
      <c r="E65" s="240">
        <v>70000</v>
      </c>
      <c r="F65" s="16"/>
      <c r="G65" s="25">
        <f t="shared" si="1"/>
        <v>0</v>
      </c>
      <c r="H65" s="42"/>
    </row>
    <row r="66" spans="2:8" s="30" customFormat="1" ht="19.5" customHeight="1" x14ac:dyDescent="0.2">
      <c r="B66" s="121" t="str">
        <f>$B$11</f>
        <v>E</v>
      </c>
      <c r="C66" s="735" t="s">
        <v>312</v>
      </c>
      <c r="D66" s="736"/>
      <c r="E66" s="736"/>
      <c r="F66" s="737"/>
      <c r="G66" s="352">
        <f>SUM(G10:G65)</f>
        <v>605000</v>
      </c>
      <c r="H66" s="36"/>
    </row>
  </sheetData>
  <mergeCells count="5">
    <mergeCell ref="C66:F66"/>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4897BEB2-C6F8-4198-BF87-C3BCBC877508}">
            <xm:f>AND(Information!$C$8=FALSE,$D13&lt;&gt;"P C Sum",$D13&lt;&gt;"PC Sum",$D13&lt;&gt;"P Sum",$D13&lt;&gt;"Prov Sum")</xm:f>
            <x14:dxf>
              <font>
                <strike val="0"/>
                <color theme="0"/>
              </font>
              <numFmt numFmtId="4" formatCode="#,##0.00"/>
            </x14:dxf>
          </x14:cfRule>
          <xm:sqref>F13:G65</xm:sqref>
        </x14:conditionalFormatting>
        <x14:conditionalFormatting xmlns:xm="http://schemas.microsoft.com/office/excel/2006/main">
          <x14:cfRule type="expression" priority="1" id="{DF665730-5D0D-471E-A5C5-B72306870DE5}">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218D-9866-4E08-9D35-8AFAB3EA6369}">
  <sheetPr>
    <tabColor theme="3" tint="0.59999389629810485"/>
  </sheetPr>
  <dimension ref="B1:N164"/>
  <sheetViews>
    <sheetView showGridLines="0" view="pageBreakPreview" zoomScaleNormal="100" zoomScaleSheetLayoutView="100" zoomScalePageLayoutView="150" workbookViewId="0">
      <selection activeCell="E24" sqref="E24"/>
    </sheetView>
  </sheetViews>
  <sheetFormatPr defaultColWidth="8.85546875" defaultRowHeight="12.75" x14ac:dyDescent="0.2"/>
  <cols>
    <col min="1" max="1" width="2" style="80" customWidth="1"/>
    <col min="2" max="2" width="8.42578125" style="222" customWidth="1"/>
    <col min="3" max="3" width="55.85546875" style="53" customWidth="1"/>
    <col min="4" max="4" width="6.5703125" style="53" customWidth="1"/>
    <col min="5" max="5" width="21.85546875" style="115" customWidth="1"/>
    <col min="6" max="6" width="1.42578125" style="80" customWidth="1"/>
    <col min="7" max="7" width="4.42578125" style="80" customWidth="1"/>
    <col min="8" max="8" width="9.5703125" style="80" customWidth="1"/>
    <col min="9" max="9" width="11.42578125" style="116" customWidth="1"/>
    <col min="10" max="10" width="11.5703125" style="80" bestFit="1" customWidth="1"/>
    <col min="11" max="11" width="8.85546875" style="80"/>
    <col min="12" max="12" width="15.42578125" style="80" customWidth="1"/>
    <col min="13" max="13" width="12.5703125" style="80" customWidth="1"/>
    <col min="14" max="14" width="9.42578125" style="80" customWidth="1"/>
    <col min="15" max="16384" width="8.85546875" style="80"/>
  </cols>
  <sheetData>
    <row r="1" spans="2:14" s="1" customFormat="1" ht="18" customHeight="1" x14ac:dyDescent="0.2">
      <c r="B1" s="2" t="str">
        <f>Client1</f>
        <v>Province of KwaZulu-Natal</v>
      </c>
      <c r="C1" s="3"/>
      <c r="D1" s="3"/>
      <c r="F1" s="6" t="str">
        <f>"Contract No. "&amp;ContractNo</f>
        <v>Contract No. ZNB02287/00000/00/MET/INF/24/T</v>
      </c>
      <c r="H1" s="4"/>
      <c r="I1" s="168"/>
      <c r="M1" s="4"/>
    </row>
    <row r="2" spans="2:14" s="1" customFormat="1" ht="16.5" customHeight="1" x14ac:dyDescent="0.2">
      <c r="B2" s="81" t="str">
        <f>Client2</f>
        <v>Department of Transport</v>
      </c>
      <c r="C2" s="3"/>
      <c r="D2" s="3"/>
      <c r="E2" s="4"/>
      <c r="F2" s="4"/>
      <c r="G2" s="4"/>
      <c r="H2" s="4"/>
      <c r="I2" s="168"/>
      <c r="K2" s="5"/>
      <c r="L2" s="5"/>
      <c r="M2" s="4"/>
    </row>
    <row r="3" spans="2:14" s="1" customFormat="1" ht="13.5" customHeight="1" x14ac:dyDescent="0.2">
      <c r="B3" s="167"/>
      <c r="C3" s="3"/>
      <c r="D3" s="3"/>
      <c r="E3" s="4"/>
      <c r="F3" s="4"/>
      <c r="G3" s="4"/>
      <c r="H3" s="4"/>
      <c r="I3" s="168"/>
      <c r="K3" s="5"/>
      <c r="L3" s="5"/>
      <c r="M3" s="4"/>
    </row>
    <row r="4" spans="2:14" s="1" customFormat="1" ht="13.5" customHeight="1" x14ac:dyDescent="0.2">
      <c r="B4" s="167"/>
      <c r="C4" s="3"/>
      <c r="D4" s="3"/>
      <c r="E4" s="4"/>
      <c r="F4" s="4"/>
      <c r="G4" s="4"/>
      <c r="H4" s="4"/>
      <c r="I4" s="168"/>
      <c r="K4" s="5"/>
      <c r="L4" s="5"/>
      <c r="M4" s="4"/>
    </row>
    <row r="5" spans="2:14" ht="12.75" customHeight="1" x14ac:dyDescent="0.2">
      <c r="B5" s="256" t="str">
        <f>'[2]Sch F'!B6</f>
        <v>SCHEDULE F: EXPANDED PUBLIC WORKS PROGRAMME</v>
      </c>
      <c r="C5" s="12"/>
      <c r="D5" s="12"/>
      <c r="E5" s="12"/>
    </row>
    <row r="6" spans="2:14" ht="12.75" customHeight="1" x14ac:dyDescent="0.2">
      <c r="B6" s="8"/>
      <c r="C6" s="7"/>
      <c r="D6" s="7"/>
      <c r="E6" s="7"/>
    </row>
    <row r="7" spans="2:14" ht="12.75" customHeight="1" x14ac:dyDescent="0.2">
      <c r="B7" s="733" t="s">
        <v>464</v>
      </c>
      <c r="C7" s="733"/>
      <c r="D7" s="733"/>
      <c r="E7" s="733"/>
    </row>
    <row r="8" spans="2:14" ht="12.75" customHeight="1" x14ac:dyDescent="0.2">
      <c r="B8" s="257"/>
      <c r="C8" s="257"/>
      <c r="D8" s="257"/>
      <c r="E8" s="257"/>
    </row>
    <row r="9" spans="2:14" ht="25.5" customHeight="1" x14ac:dyDescent="0.2">
      <c r="B9" s="732" t="str">
        <f>ContractDescription</f>
        <v>PROVISION OF ROUTINE AND SAFETY MAINTENANCE ON MIAN ROAD P3/1 (KM 69.00 TO KM 77.96), P3/2 (KM 0.00 TO KM 11.50), P21/2(KM 0.00 TO KM 29.83 IN THE ETHEKWINI METRO - DURBAN REGION</v>
      </c>
      <c r="C9" s="732"/>
      <c r="D9" s="732"/>
      <c r="E9" s="732"/>
      <c r="F9" s="222"/>
      <c r="G9" s="258"/>
      <c r="H9" s="222"/>
    </row>
    <row r="10" spans="2:14" ht="5.25" customHeight="1" thickBot="1" x14ac:dyDescent="0.25">
      <c r="B10" s="734"/>
      <c r="C10" s="734"/>
      <c r="D10" s="734"/>
      <c r="E10" s="734"/>
    </row>
    <row r="11" spans="2:14" s="12" customFormat="1" ht="24.95" customHeight="1" thickBot="1" x14ac:dyDescent="0.25">
      <c r="B11" s="173" t="s">
        <v>315</v>
      </c>
      <c r="C11" s="174" t="s">
        <v>1</v>
      </c>
      <c r="D11" s="259" t="s">
        <v>307</v>
      </c>
      <c r="E11" s="175" t="s">
        <v>5</v>
      </c>
      <c r="I11" s="179"/>
    </row>
    <row r="12" spans="2:14" ht="21" customHeight="1" x14ac:dyDescent="0.2">
      <c r="B12" s="255" t="s">
        <v>348</v>
      </c>
      <c r="C12" s="260" t="str">
        <f>'Chapter E'!C11</f>
        <v>EXPANDED PUBLIC WORKS PROGRAMME (EPWP)</v>
      </c>
      <c r="D12" s="264"/>
      <c r="E12" s="354">
        <f>'Chapter E'!G66</f>
        <v>605000</v>
      </c>
      <c r="H12" s="12"/>
      <c r="I12" s="187"/>
    </row>
    <row r="13" spans="2:14" ht="9" customHeight="1" thickBot="1" x14ac:dyDescent="0.25">
      <c r="B13" s="204"/>
      <c r="C13" s="253"/>
      <c r="D13" s="265"/>
      <c r="E13" s="355"/>
      <c r="H13" s="12"/>
      <c r="I13" s="187"/>
    </row>
    <row r="14" spans="2:14" ht="23.45" customHeight="1" thickBot="1" x14ac:dyDescent="0.25">
      <c r="B14" s="261" t="str">
        <f>"TOTAL CARRIED FORWARD TO SUMMARY (Page C"&amp;_Summary&amp;")"</f>
        <v>TOTAL CARRIED FORWARD TO SUMMARY (Page C55)</v>
      </c>
      <c r="C14" s="262"/>
      <c r="D14" s="263"/>
      <c r="E14" s="356">
        <f>SUM(E12:E13)</f>
        <v>605000</v>
      </c>
      <c r="N14" s="80">
        <f>31+26</f>
        <v>57</v>
      </c>
    </row>
    <row r="15" spans="2:14" x14ac:dyDescent="0.2">
      <c r="E15" s="223"/>
      <c r="G15" s="266"/>
    </row>
    <row r="66" spans="2:8" x14ac:dyDescent="0.2">
      <c r="B66" s="9"/>
      <c r="C66" s="9"/>
      <c r="D66" s="9"/>
      <c r="E66" s="9"/>
      <c r="F66" s="222"/>
      <c r="G66" s="222"/>
      <c r="H66" s="222"/>
    </row>
    <row r="164" spans="2:8" x14ac:dyDescent="0.2">
      <c r="B164" s="9"/>
      <c r="C164" s="9"/>
      <c r="D164" s="9"/>
      <c r="E164" s="9"/>
      <c r="F164" s="222"/>
      <c r="G164" s="222"/>
      <c r="H164" s="222"/>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AFA2E833-3E73-4AC2-8724-4C77555EDA82}">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926F-051D-4273-B893-24395EC5E300}">
  <dimension ref="B1:H117"/>
  <sheetViews>
    <sheetView view="pageBreakPreview" topLeftCell="B41" zoomScaleNormal="125" zoomScaleSheetLayoutView="100" zoomScalePageLayoutView="125" workbookViewId="0">
      <selection activeCell="G57" sqref="G57"/>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1" spans="2:8" x14ac:dyDescent="0.2">
      <c r="G1" s="5">
        <f>MAX(G9:G490)</f>
        <v>15964351</v>
      </c>
    </row>
    <row r="2" spans="2:8" x14ac:dyDescent="0.2">
      <c r="B2" s="2" t="str">
        <f>Client1</f>
        <v>Province of KwaZulu-Natal</v>
      </c>
      <c r="E2" s="703" t="str">
        <f>"Contract No. "&amp;ContractNo</f>
        <v>Contract No. ZNB02287/00000/00/MET/INF/24/T</v>
      </c>
      <c r="F2" s="703"/>
      <c r="G2" s="703"/>
    </row>
    <row r="3" spans="2:8" x14ac:dyDescent="0.2">
      <c r="B3" s="81" t="str">
        <f>Client2</f>
        <v>Department of Transport</v>
      </c>
    </row>
    <row r="4" spans="2:8" x14ac:dyDescent="0.2">
      <c r="B4" s="71"/>
      <c r="C4" s="71"/>
      <c r="D4" s="72"/>
      <c r="E4" s="72"/>
      <c r="F4" s="73"/>
      <c r="G4" s="82"/>
    </row>
    <row r="5" spans="2:8" x14ac:dyDescent="0.2">
      <c r="B5" s="698" t="s">
        <v>373</v>
      </c>
      <c r="C5" s="699"/>
      <c r="D5" s="699"/>
      <c r="E5" s="699"/>
      <c r="F5" s="699"/>
      <c r="G5" s="738" t="str">
        <f>"CHAPTER "&amp;B11</f>
        <v>CHAPTER F</v>
      </c>
      <c r="H5" s="6"/>
    </row>
    <row r="6" spans="2:8"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739"/>
      <c r="H6" s="8"/>
    </row>
    <row r="7" spans="2:8" ht="12.75" customHeight="1" x14ac:dyDescent="0.2">
      <c r="B7" s="691"/>
      <c r="C7" s="692"/>
      <c r="D7" s="692"/>
      <c r="E7" s="692"/>
      <c r="F7" s="692"/>
      <c r="G7" s="739"/>
      <c r="H7" s="8"/>
    </row>
    <row r="8" spans="2:8" ht="7.5" customHeight="1" x14ac:dyDescent="0.2">
      <c r="B8" s="693"/>
      <c r="C8" s="694"/>
      <c r="D8" s="694"/>
      <c r="E8" s="694"/>
      <c r="F8" s="694"/>
      <c r="G8" s="740"/>
      <c r="H8" s="8"/>
    </row>
    <row r="9" spans="2:8" s="9" customFormat="1" ht="24.95" customHeight="1" x14ac:dyDescent="0.2">
      <c r="B9" s="10" t="s">
        <v>0</v>
      </c>
      <c r="C9" s="11" t="s">
        <v>1</v>
      </c>
      <c r="D9" s="11" t="s">
        <v>2</v>
      </c>
      <c r="E9" s="11" t="s">
        <v>3</v>
      </c>
      <c r="F9" s="11" t="s">
        <v>4</v>
      </c>
      <c r="G9" s="11" t="s">
        <v>5</v>
      </c>
      <c r="H9" s="12"/>
    </row>
    <row r="10" spans="2:8" x14ac:dyDescent="0.2">
      <c r="B10" s="13"/>
      <c r="C10" s="14"/>
      <c r="D10" s="15"/>
      <c r="E10" s="15"/>
      <c r="F10" s="16"/>
      <c r="G10" s="17" t="str">
        <f t="shared" ref="G10:G39" si="0">IF(D10="","",E10*F10)</f>
        <v/>
      </c>
      <c r="H10" s="18"/>
    </row>
    <row r="11" spans="2:8" x14ac:dyDescent="0.2">
      <c r="B11" s="67" t="s">
        <v>340</v>
      </c>
      <c r="C11" s="20" t="s">
        <v>358</v>
      </c>
      <c r="D11" s="22"/>
      <c r="E11" s="22"/>
      <c r="F11" s="16"/>
      <c r="G11" s="25" t="str">
        <f t="shared" si="0"/>
        <v/>
      </c>
      <c r="H11" s="42"/>
    </row>
    <row r="12" spans="2:8" x14ac:dyDescent="0.2">
      <c r="B12" s="51"/>
      <c r="C12" s="14"/>
      <c r="D12" s="22"/>
      <c r="E12" s="22"/>
      <c r="F12" s="16"/>
      <c r="G12" s="25" t="str">
        <f t="shared" si="0"/>
        <v/>
      </c>
      <c r="H12" s="42"/>
    </row>
    <row r="13" spans="2:8" x14ac:dyDescent="0.2">
      <c r="B13" s="51" t="s">
        <v>363</v>
      </c>
      <c r="C13" s="14" t="s">
        <v>359</v>
      </c>
      <c r="D13" s="22"/>
      <c r="E13" s="22"/>
      <c r="F13" s="16"/>
      <c r="G13" s="25" t="str">
        <f t="shared" si="0"/>
        <v/>
      </c>
      <c r="H13" s="42"/>
    </row>
    <row r="14" spans="2:8" x14ac:dyDescent="0.2">
      <c r="B14" s="67"/>
      <c r="C14" s="14"/>
      <c r="D14" s="22"/>
      <c r="E14" s="22"/>
      <c r="F14" s="16"/>
      <c r="G14" s="25" t="str">
        <f t="shared" si="0"/>
        <v/>
      </c>
      <c r="H14" s="42"/>
    </row>
    <row r="15" spans="2:8" ht="25.5" x14ac:dyDescent="0.2">
      <c r="B15" s="51" t="s">
        <v>34</v>
      </c>
      <c r="C15" s="14" t="s">
        <v>360</v>
      </c>
      <c r="D15" s="22"/>
      <c r="E15" s="23"/>
      <c r="F15" s="16"/>
      <c r="G15" s="25" t="str">
        <f t="shared" si="0"/>
        <v/>
      </c>
      <c r="H15" s="43"/>
    </row>
    <row r="16" spans="2:8" x14ac:dyDescent="0.2">
      <c r="B16" s="67"/>
      <c r="C16" s="14"/>
      <c r="D16" s="22"/>
      <c r="E16" s="23"/>
      <c r="F16" s="16"/>
      <c r="G16" s="25" t="str">
        <f t="shared" si="0"/>
        <v/>
      </c>
      <c r="H16" s="43"/>
    </row>
    <row r="17" spans="2:8" ht="51" x14ac:dyDescent="0.2">
      <c r="B17" s="51" t="s">
        <v>66</v>
      </c>
      <c r="C17" s="14" t="s">
        <v>1089</v>
      </c>
      <c r="D17" s="22" t="s">
        <v>33</v>
      </c>
      <c r="E17" s="23">
        <v>4</v>
      </c>
      <c r="F17" s="41"/>
      <c r="G17" s="25">
        <f t="shared" si="0"/>
        <v>0</v>
      </c>
      <c r="H17" s="42"/>
    </row>
    <row r="18" spans="2:8" x14ac:dyDescent="0.2">
      <c r="B18" s="51"/>
      <c r="C18" s="14"/>
      <c r="D18" s="22"/>
      <c r="E18" s="23"/>
      <c r="F18" s="16"/>
      <c r="G18" s="25" t="str">
        <f t="shared" si="0"/>
        <v/>
      </c>
      <c r="H18" s="42"/>
    </row>
    <row r="19" spans="2:8" ht="51" x14ac:dyDescent="0.2">
      <c r="B19" s="51" t="s">
        <v>67</v>
      </c>
      <c r="C19" s="14" t="s">
        <v>1090</v>
      </c>
      <c r="D19" s="22" t="s">
        <v>33</v>
      </c>
      <c r="E19" s="23">
        <v>4</v>
      </c>
      <c r="F19" s="41"/>
      <c r="G19" s="25">
        <f t="shared" si="0"/>
        <v>0</v>
      </c>
    </row>
    <row r="20" spans="2:8" x14ac:dyDescent="0.2">
      <c r="B20" s="51"/>
      <c r="C20" s="1"/>
      <c r="D20" s="22"/>
      <c r="E20" s="23"/>
      <c r="F20" s="16"/>
      <c r="G20" s="25" t="str">
        <f t="shared" si="0"/>
        <v/>
      </c>
    </row>
    <row r="21" spans="2:8" ht="51" x14ac:dyDescent="0.2">
      <c r="B21" s="51" t="s">
        <v>104</v>
      </c>
      <c r="C21" s="14" t="s">
        <v>1091</v>
      </c>
      <c r="D21" s="22" t="s">
        <v>33</v>
      </c>
      <c r="E21" s="23">
        <v>4</v>
      </c>
      <c r="F21" s="41"/>
      <c r="G21" s="25">
        <f t="shared" si="0"/>
        <v>0</v>
      </c>
    </row>
    <row r="22" spans="2:8" x14ac:dyDescent="0.2">
      <c r="B22" s="51"/>
      <c r="C22" s="14"/>
      <c r="D22" s="22"/>
      <c r="E22" s="23"/>
      <c r="F22" s="41"/>
      <c r="G22" s="25" t="str">
        <f t="shared" si="0"/>
        <v/>
      </c>
    </row>
    <row r="23" spans="2:8" ht="51" hidden="1" x14ac:dyDescent="0.2">
      <c r="B23" s="51" t="s">
        <v>336</v>
      </c>
      <c r="C23" s="14" t="s">
        <v>1092</v>
      </c>
      <c r="D23" s="22" t="s">
        <v>33</v>
      </c>
      <c r="E23" s="23">
        <v>0</v>
      </c>
      <c r="F23" s="41">
        <v>6500</v>
      </c>
      <c r="G23" s="25">
        <f t="shared" si="0"/>
        <v>0</v>
      </c>
    </row>
    <row r="24" spans="2:8" hidden="1" x14ac:dyDescent="0.2">
      <c r="B24" s="51"/>
      <c r="C24" s="14"/>
      <c r="D24" s="22"/>
      <c r="E24" s="23"/>
      <c r="F24" s="41"/>
      <c r="G24" s="25" t="str">
        <f t="shared" si="0"/>
        <v/>
      </c>
    </row>
    <row r="25" spans="2:8" ht="51" hidden="1" x14ac:dyDescent="0.2">
      <c r="B25" s="51" t="s">
        <v>337</v>
      </c>
      <c r="C25" s="14" t="s">
        <v>361</v>
      </c>
      <c r="D25" s="22" t="s">
        <v>33</v>
      </c>
      <c r="E25" s="23">
        <f>CPG!Q42</f>
        <v>0</v>
      </c>
      <c r="F25" s="41">
        <v>5000</v>
      </c>
      <c r="G25" s="25">
        <f t="shared" si="0"/>
        <v>0</v>
      </c>
      <c r="H25" s="43"/>
    </row>
    <row r="26" spans="2:8" x14ac:dyDescent="0.2">
      <c r="B26" s="51"/>
      <c r="C26" s="14"/>
      <c r="D26" s="22"/>
      <c r="E26" s="26"/>
      <c r="F26" s="41"/>
      <c r="G26" s="25" t="str">
        <f t="shared" si="0"/>
        <v/>
      </c>
      <c r="H26" s="18"/>
    </row>
    <row r="27" spans="2:8" s="38" customFormat="1" ht="51" hidden="1" x14ac:dyDescent="0.2">
      <c r="B27" s="51" t="s">
        <v>338</v>
      </c>
      <c r="C27" s="14" t="s">
        <v>362</v>
      </c>
      <c r="D27" s="22" t="s">
        <v>33</v>
      </c>
      <c r="E27" s="26">
        <f>CPG!R42</f>
        <v>0</v>
      </c>
      <c r="F27" s="41">
        <v>5000</v>
      </c>
      <c r="G27" s="25">
        <f t="shared" si="0"/>
        <v>0</v>
      </c>
      <c r="H27" s="18"/>
    </row>
    <row r="28" spans="2:8" x14ac:dyDescent="0.2">
      <c r="B28" s="51"/>
      <c r="C28" s="14"/>
      <c r="D28" s="22"/>
      <c r="E28" s="23"/>
      <c r="F28" s="41"/>
      <c r="G28" s="25" t="str">
        <f t="shared" si="0"/>
        <v/>
      </c>
      <c r="H28" s="43"/>
    </row>
    <row r="29" spans="2:8" ht="25.5" x14ac:dyDescent="0.2">
      <c r="B29" s="51" t="s">
        <v>364</v>
      </c>
      <c r="C29" s="14" t="s">
        <v>365</v>
      </c>
      <c r="D29" s="22"/>
      <c r="E29" s="23"/>
      <c r="F29" s="41"/>
      <c r="G29" s="25" t="str">
        <f t="shared" si="0"/>
        <v/>
      </c>
      <c r="H29" s="43"/>
    </row>
    <row r="30" spans="2:8" x14ac:dyDescent="0.2">
      <c r="B30" s="51"/>
      <c r="C30" s="14"/>
      <c r="D30" s="22"/>
      <c r="E30" s="23"/>
      <c r="F30" s="41"/>
      <c r="G30" s="25" t="str">
        <f t="shared" si="0"/>
        <v/>
      </c>
      <c r="H30" s="42"/>
    </row>
    <row r="31" spans="2:8" ht="25.5" x14ac:dyDescent="0.2">
      <c r="B31" s="51" t="s">
        <v>34</v>
      </c>
      <c r="C31" s="14" t="s">
        <v>366</v>
      </c>
      <c r="D31" s="22" t="s">
        <v>170</v>
      </c>
      <c r="E31" s="23">
        <v>1</v>
      </c>
      <c r="F31" s="41">
        <v>15584351</v>
      </c>
      <c r="G31" s="25">
        <f t="shared" si="0"/>
        <v>15584351</v>
      </c>
      <c r="H31" s="42"/>
    </row>
    <row r="32" spans="2:8" x14ac:dyDescent="0.2">
      <c r="B32" s="51"/>
      <c r="C32" s="14"/>
      <c r="D32" s="22"/>
      <c r="E32" s="23"/>
      <c r="F32" s="41"/>
      <c r="G32" s="25" t="str">
        <f t="shared" si="0"/>
        <v/>
      </c>
      <c r="H32" s="42"/>
    </row>
    <row r="33" spans="2:8" ht="25.5" x14ac:dyDescent="0.2">
      <c r="B33" s="51" t="s">
        <v>35</v>
      </c>
      <c r="C33" s="127" t="s">
        <v>367</v>
      </c>
      <c r="D33" s="22" t="s">
        <v>25</v>
      </c>
      <c r="E33" s="23">
        <v>15584351</v>
      </c>
      <c r="F33" s="41"/>
      <c r="G33" s="25">
        <f t="shared" si="0"/>
        <v>0</v>
      </c>
      <c r="H33" s="42"/>
    </row>
    <row r="34" spans="2:8" x14ac:dyDescent="0.2">
      <c r="B34" s="51"/>
      <c r="C34" s="14"/>
      <c r="D34" s="22"/>
      <c r="E34" s="22"/>
      <c r="F34" s="41"/>
      <c r="G34" s="25" t="str">
        <f t="shared" si="0"/>
        <v/>
      </c>
      <c r="H34" s="42"/>
    </row>
    <row r="35" spans="2:8" ht="38.25" x14ac:dyDescent="0.2">
      <c r="B35" s="51" t="s">
        <v>40</v>
      </c>
      <c r="C35" s="127" t="s">
        <v>368</v>
      </c>
      <c r="D35" s="22" t="s">
        <v>170</v>
      </c>
      <c r="E35" s="243"/>
      <c r="F35" s="41">
        <v>820229</v>
      </c>
      <c r="G35" s="25">
        <f t="shared" si="0"/>
        <v>0</v>
      </c>
      <c r="H35" s="42"/>
    </row>
    <row r="36" spans="2:8" x14ac:dyDescent="0.2">
      <c r="B36" s="51"/>
      <c r="C36" s="14"/>
      <c r="D36" s="22"/>
      <c r="E36" s="22"/>
      <c r="F36" s="41"/>
      <c r="G36" s="25" t="str">
        <f t="shared" si="0"/>
        <v/>
      </c>
      <c r="H36" s="42"/>
    </row>
    <row r="37" spans="2:8" ht="25.5" x14ac:dyDescent="0.2">
      <c r="B37" s="51" t="s">
        <v>37</v>
      </c>
      <c r="C37" s="14" t="s">
        <v>369</v>
      </c>
      <c r="D37" s="22" t="s">
        <v>25</v>
      </c>
      <c r="E37" s="23">
        <v>820229</v>
      </c>
      <c r="F37" s="41"/>
      <c r="G37" s="25">
        <f t="shared" si="0"/>
        <v>0</v>
      </c>
      <c r="H37" s="42"/>
    </row>
    <row r="38" spans="2:8" x14ac:dyDescent="0.2">
      <c r="B38" s="51"/>
      <c r="C38" s="14"/>
      <c r="D38" s="22"/>
      <c r="E38" s="22"/>
      <c r="F38" s="41"/>
      <c r="G38" s="25" t="str">
        <f t="shared" si="0"/>
        <v/>
      </c>
      <c r="H38" s="42"/>
    </row>
    <row r="39" spans="2:8" ht="25.5" x14ac:dyDescent="0.2">
      <c r="B39" s="51" t="s">
        <v>38</v>
      </c>
      <c r="C39" s="14" t="s">
        <v>370</v>
      </c>
      <c r="D39" s="22" t="s">
        <v>371</v>
      </c>
      <c r="E39" s="22">
        <f>_Duration</f>
        <v>36</v>
      </c>
      <c r="F39" s="41"/>
      <c r="G39" s="25">
        <f t="shared" si="0"/>
        <v>0</v>
      </c>
      <c r="H39" s="42"/>
    </row>
    <row r="40" spans="2:8" x14ac:dyDescent="0.2">
      <c r="B40" s="51"/>
      <c r="C40" s="14"/>
      <c r="D40" s="22"/>
      <c r="E40" s="22"/>
      <c r="F40" s="41"/>
      <c r="G40" s="25"/>
      <c r="H40" s="42"/>
    </row>
    <row r="41" spans="2:8" x14ac:dyDescent="0.2">
      <c r="B41" s="51"/>
      <c r="C41" s="14"/>
      <c r="D41" s="22"/>
      <c r="E41" s="22"/>
      <c r="F41" s="41"/>
      <c r="G41" s="25"/>
      <c r="H41" s="42"/>
    </row>
    <row r="42" spans="2:8" x14ac:dyDescent="0.2">
      <c r="B42" s="51"/>
      <c r="C42" s="14"/>
      <c r="D42" s="22"/>
      <c r="E42" s="22"/>
      <c r="F42" s="41"/>
      <c r="G42" s="25"/>
      <c r="H42" s="42"/>
    </row>
    <row r="43" spans="2:8" ht="25.5" x14ac:dyDescent="0.2">
      <c r="B43" s="589" t="s">
        <v>1132</v>
      </c>
      <c r="C43" s="590" t="s">
        <v>1133</v>
      </c>
      <c r="D43" s="22"/>
      <c r="E43" s="22"/>
      <c r="F43" s="41"/>
      <c r="G43" s="25"/>
      <c r="H43" s="42"/>
    </row>
    <row r="44" spans="2:8" x14ac:dyDescent="0.2">
      <c r="B44" s="51"/>
      <c r="C44" s="14"/>
      <c r="D44" s="22"/>
      <c r="E44" s="22"/>
      <c r="F44" s="41"/>
      <c r="G44" s="25"/>
      <c r="H44" s="42"/>
    </row>
    <row r="45" spans="2:8" x14ac:dyDescent="0.2">
      <c r="B45" s="51"/>
      <c r="C45" s="14"/>
      <c r="D45" s="22"/>
      <c r="E45" s="22"/>
      <c r="F45" s="41"/>
      <c r="G45" s="25"/>
      <c r="H45" s="42"/>
    </row>
    <row r="46" spans="2:8" x14ac:dyDescent="0.2">
      <c r="B46" s="51"/>
      <c r="C46" s="14"/>
      <c r="D46" s="22"/>
      <c r="E46" s="22"/>
      <c r="F46" s="40"/>
      <c r="G46" s="17"/>
      <c r="H46" s="42"/>
    </row>
    <row r="47" spans="2:8" s="30" customFormat="1" ht="19.5" customHeight="1" x14ac:dyDescent="0.2">
      <c r="B47" s="121" t="str">
        <f>$B$11</f>
        <v>F</v>
      </c>
      <c r="C47" s="32" t="s">
        <v>12</v>
      </c>
      <c r="D47" s="33"/>
      <c r="E47" s="34"/>
      <c r="F47" s="33"/>
      <c r="G47" s="352">
        <f>SUM(G10:G46)</f>
        <v>15584351</v>
      </c>
      <c r="H47" s="36"/>
    </row>
    <row r="48" spans="2:8" x14ac:dyDescent="0.2">
      <c r="B48" s="689" t="str">
        <f>Client1</f>
        <v>Province of KwaZulu-Natal</v>
      </c>
      <c r="C48" s="689"/>
      <c r="D48" s="689"/>
      <c r="E48" s="687" t="str">
        <f>"Contract No. "&amp;ContractNo</f>
        <v>Contract No. ZNB02287/00000/00/MET/INF/24/T</v>
      </c>
      <c r="F48" s="687"/>
      <c r="G48" s="687"/>
    </row>
    <row r="49" spans="2:8" x14ac:dyDescent="0.2">
      <c r="B49" s="689" t="str">
        <f>Client2</f>
        <v>Department of Transport</v>
      </c>
      <c r="C49" s="689"/>
      <c r="D49" s="689"/>
      <c r="E49" s="687"/>
      <c r="F49" s="687"/>
      <c r="G49" s="687"/>
    </row>
    <row r="50" spans="2:8" x14ac:dyDescent="0.2">
      <c r="B50" s="690"/>
      <c r="C50" s="690"/>
      <c r="D50" s="690"/>
      <c r="E50" s="688"/>
      <c r="F50" s="688"/>
      <c r="G50" s="688"/>
    </row>
    <row r="51" spans="2:8" x14ac:dyDescent="0.2">
      <c r="B51" s="698" t="str">
        <f>B5</f>
        <v>SCHEDULE F: SMALL CONTRACTOR DEVELOPMENT</v>
      </c>
      <c r="C51" s="699"/>
      <c r="D51" s="699"/>
      <c r="E51" s="699"/>
      <c r="F51" s="699"/>
      <c r="G51" s="700" t="str">
        <f>$G$5</f>
        <v>CHAPTER F</v>
      </c>
      <c r="H51" s="6"/>
    </row>
    <row r="52" spans="2:8" ht="6.95" customHeight="1" x14ac:dyDescent="0.2">
      <c r="B52" s="691" t="str">
        <f>ContractDescription</f>
        <v>PROVISION OF ROUTINE AND SAFETY MAINTENANCE ON MIAN ROAD P3/1 (KM 69.00 TO KM 77.96), P3/2 (KM 0.00 TO KM 11.50), P21/2(KM 0.00 TO KM 29.83 IN THE ETHEKWINI METRO - DURBAN REGION</v>
      </c>
      <c r="C52" s="692"/>
      <c r="D52" s="692"/>
      <c r="E52" s="692"/>
      <c r="F52" s="692"/>
      <c r="G52" s="701"/>
      <c r="H52" s="8"/>
    </row>
    <row r="53" spans="2:8" x14ac:dyDescent="0.2">
      <c r="B53" s="691"/>
      <c r="C53" s="692"/>
      <c r="D53" s="692"/>
      <c r="E53" s="692"/>
      <c r="F53" s="692"/>
      <c r="G53" s="701"/>
      <c r="H53" s="8"/>
    </row>
    <row r="54" spans="2:8" ht="8.4499999999999993" customHeight="1" x14ac:dyDescent="0.2">
      <c r="B54" s="693"/>
      <c r="C54" s="694"/>
      <c r="D54" s="694"/>
      <c r="E54" s="694"/>
      <c r="F54" s="694"/>
      <c r="G54" s="702"/>
      <c r="H54" s="8"/>
    </row>
    <row r="55" spans="2:8" s="9" customFormat="1" ht="24.95" customHeight="1" x14ac:dyDescent="0.2">
      <c r="B55" s="68" t="s">
        <v>0</v>
      </c>
      <c r="C55" s="11" t="s">
        <v>1</v>
      </c>
      <c r="D55" s="11" t="s">
        <v>2</v>
      </c>
      <c r="E55" s="11" t="s">
        <v>3</v>
      </c>
      <c r="F55" s="11" t="s">
        <v>4</v>
      </c>
      <c r="G55" s="11" t="s">
        <v>5</v>
      </c>
      <c r="H55" s="12"/>
    </row>
    <row r="56" spans="2:8" s="30" customFormat="1" ht="19.5" customHeight="1" x14ac:dyDescent="0.2">
      <c r="B56" s="74"/>
      <c r="C56" s="32" t="s">
        <v>26</v>
      </c>
      <c r="D56" s="33"/>
      <c r="E56" s="34"/>
      <c r="F56" s="33"/>
      <c r="G56" s="35">
        <f>G47</f>
        <v>15584351</v>
      </c>
      <c r="H56" s="36"/>
    </row>
    <row r="57" spans="2:8" x14ac:dyDescent="0.2">
      <c r="B57" s="51"/>
      <c r="C57" s="14"/>
      <c r="D57" s="22"/>
      <c r="E57" s="22"/>
      <c r="F57" s="40"/>
      <c r="G57" s="17" t="str">
        <f t="shared" ref="G57:G80" si="1">IF(D57="","",E57*F57)</f>
        <v/>
      </c>
      <c r="H57" s="42"/>
    </row>
    <row r="58" spans="2:8" x14ac:dyDescent="0.2">
      <c r="B58" s="51" t="s">
        <v>34</v>
      </c>
      <c r="C58" s="14" t="s">
        <v>325</v>
      </c>
      <c r="D58" s="22"/>
      <c r="E58" s="22"/>
      <c r="F58" s="16"/>
      <c r="G58" s="25" t="str">
        <f t="shared" si="1"/>
        <v/>
      </c>
      <c r="H58" s="42"/>
    </row>
    <row r="59" spans="2:8" x14ac:dyDescent="0.2">
      <c r="B59" s="67"/>
      <c r="C59" s="14"/>
      <c r="D59" s="22"/>
      <c r="E59" s="22"/>
      <c r="F59" s="16"/>
      <c r="G59" s="25" t="str">
        <f t="shared" si="1"/>
        <v/>
      </c>
      <c r="H59" s="42"/>
    </row>
    <row r="60" spans="2:8" x14ac:dyDescent="0.2">
      <c r="B60" s="51" t="s">
        <v>66</v>
      </c>
      <c r="C60" s="14" t="s">
        <v>326</v>
      </c>
      <c r="D60" s="22" t="s">
        <v>170</v>
      </c>
      <c r="E60" s="244">
        <v>80000</v>
      </c>
      <c r="F60" s="16">
        <v>1</v>
      </c>
      <c r="G60" s="25">
        <f t="shared" si="1"/>
        <v>80000</v>
      </c>
      <c r="H60" s="42"/>
    </row>
    <row r="61" spans="2:8" x14ac:dyDescent="0.2">
      <c r="B61" s="51"/>
      <c r="C61" s="14"/>
      <c r="D61" s="22"/>
      <c r="E61" s="244"/>
      <c r="F61" s="16"/>
      <c r="G61" s="25" t="str">
        <f t="shared" si="1"/>
        <v/>
      </c>
      <c r="H61" s="42"/>
    </row>
    <row r="62" spans="2:8" ht="25.5" x14ac:dyDescent="0.2">
      <c r="B62" s="51" t="s">
        <v>67</v>
      </c>
      <c r="C62" s="14" t="s">
        <v>374</v>
      </c>
      <c r="D62" s="22" t="s">
        <v>25</v>
      </c>
      <c r="E62" s="245">
        <f>E60</f>
        <v>80000</v>
      </c>
      <c r="F62" s="16"/>
      <c r="G62" s="25">
        <f t="shared" si="1"/>
        <v>0</v>
      </c>
      <c r="H62" s="42"/>
    </row>
    <row r="63" spans="2:8" x14ac:dyDescent="0.2">
      <c r="B63" s="51"/>
      <c r="C63" s="1"/>
      <c r="D63" s="22"/>
      <c r="E63" s="244"/>
      <c r="F63" s="16"/>
      <c r="G63" s="25" t="str">
        <f t="shared" si="1"/>
        <v/>
      </c>
      <c r="H63" s="42"/>
    </row>
    <row r="64" spans="2:8" x14ac:dyDescent="0.2">
      <c r="B64" s="51" t="s">
        <v>35</v>
      </c>
      <c r="C64" s="14" t="s">
        <v>327</v>
      </c>
      <c r="D64" s="22"/>
      <c r="E64" s="244"/>
      <c r="F64" s="16"/>
      <c r="G64" s="25" t="str">
        <f t="shared" si="1"/>
        <v/>
      </c>
      <c r="H64" s="42"/>
    </row>
    <row r="65" spans="2:8" x14ac:dyDescent="0.2">
      <c r="B65" s="51"/>
      <c r="C65" s="14"/>
      <c r="D65" s="22"/>
      <c r="E65" s="244"/>
      <c r="F65" s="16"/>
      <c r="G65" s="25" t="str">
        <f t="shared" si="1"/>
        <v/>
      </c>
      <c r="H65" s="42"/>
    </row>
    <row r="66" spans="2:8" x14ac:dyDescent="0.2">
      <c r="B66" s="51" t="s">
        <v>101</v>
      </c>
      <c r="C66" s="14" t="s">
        <v>326</v>
      </c>
      <c r="D66" s="22" t="s">
        <v>170</v>
      </c>
      <c r="E66" s="244">
        <v>100000</v>
      </c>
      <c r="F66" s="16">
        <v>1</v>
      </c>
      <c r="G66" s="25">
        <f t="shared" si="1"/>
        <v>100000</v>
      </c>
      <c r="H66" s="42"/>
    </row>
    <row r="67" spans="2:8" x14ac:dyDescent="0.2">
      <c r="B67" s="51"/>
      <c r="C67" s="14"/>
      <c r="D67" s="22"/>
      <c r="E67" s="244"/>
      <c r="F67" s="16"/>
      <c r="G67" s="25" t="str">
        <f t="shared" si="1"/>
        <v/>
      </c>
    </row>
    <row r="68" spans="2:8" ht="25.5" x14ac:dyDescent="0.2">
      <c r="B68" s="51" t="s">
        <v>102</v>
      </c>
      <c r="C68" s="14" t="s">
        <v>375</v>
      </c>
      <c r="D68" s="22" t="s">
        <v>25</v>
      </c>
      <c r="E68" s="245">
        <f>E66</f>
        <v>100000</v>
      </c>
      <c r="F68" s="16"/>
      <c r="G68" s="25">
        <f t="shared" si="1"/>
        <v>0</v>
      </c>
      <c r="H68" s="42"/>
    </row>
    <row r="69" spans="2:8" x14ac:dyDescent="0.2">
      <c r="B69" s="51"/>
      <c r="C69" s="14"/>
      <c r="D69" s="22"/>
      <c r="E69" s="244"/>
      <c r="F69" s="16"/>
      <c r="G69" s="25" t="str">
        <f t="shared" si="1"/>
        <v/>
      </c>
      <c r="H69" s="50"/>
    </row>
    <row r="70" spans="2:8" x14ac:dyDescent="0.2">
      <c r="B70" s="51" t="s">
        <v>36</v>
      </c>
      <c r="C70" s="14" t="s">
        <v>329</v>
      </c>
      <c r="D70" s="22"/>
      <c r="E70" s="244"/>
      <c r="F70" s="16"/>
      <c r="G70" s="25" t="str">
        <f t="shared" si="1"/>
        <v/>
      </c>
    </row>
    <row r="71" spans="2:8" x14ac:dyDescent="0.2">
      <c r="B71" s="51"/>
      <c r="C71" s="14"/>
      <c r="D71" s="22"/>
      <c r="E71" s="244"/>
      <c r="F71" s="16"/>
      <c r="G71" s="25" t="str">
        <f t="shared" si="1"/>
        <v/>
      </c>
      <c r="H71" s="42"/>
    </row>
    <row r="72" spans="2:8" x14ac:dyDescent="0.2">
      <c r="B72" s="51" t="s">
        <v>105</v>
      </c>
      <c r="C72" s="14" t="s">
        <v>326</v>
      </c>
      <c r="D72" s="22" t="s">
        <v>170</v>
      </c>
      <c r="E72" s="244">
        <v>100000</v>
      </c>
      <c r="F72" s="16">
        <v>1</v>
      </c>
      <c r="G72" s="25">
        <f t="shared" si="1"/>
        <v>100000</v>
      </c>
      <c r="H72" s="42"/>
    </row>
    <row r="73" spans="2:8" x14ac:dyDescent="0.2">
      <c r="B73" s="51"/>
      <c r="C73" s="14"/>
      <c r="D73" s="22"/>
      <c r="E73" s="244"/>
      <c r="F73" s="16"/>
      <c r="G73" s="25" t="str">
        <f t="shared" si="1"/>
        <v/>
      </c>
      <c r="H73" s="42"/>
    </row>
    <row r="74" spans="2:8" ht="25.5" x14ac:dyDescent="0.2">
      <c r="B74" s="51" t="s">
        <v>106</v>
      </c>
      <c r="C74" s="14" t="s">
        <v>376</v>
      </c>
      <c r="D74" s="22" t="s">
        <v>25</v>
      </c>
      <c r="E74" s="245">
        <f>E72</f>
        <v>100000</v>
      </c>
      <c r="F74" s="16"/>
      <c r="G74" s="25">
        <f t="shared" si="1"/>
        <v>0</v>
      </c>
      <c r="H74" s="42"/>
    </row>
    <row r="75" spans="2:8" x14ac:dyDescent="0.2">
      <c r="B75" s="51"/>
      <c r="C75" s="14"/>
      <c r="D75" s="22"/>
      <c r="E75" s="244"/>
      <c r="F75" s="16"/>
      <c r="G75" s="25" t="str">
        <f t="shared" si="1"/>
        <v/>
      </c>
      <c r="H75" s="42"/>
    </row>
    <row r="76" spans="2:8" ht="38.25" x14ac:dyDescent="0.2">
      <c r="B76" s="51" t="s">
        <v>37</v>
      </c>
      <c r="C76" s="14" t="s">
        <v>341</v>
      </c>
      <c r="D76" s="22"/>
      <c r="E76" s="244"/>
      <c r="F76" s="16"/>
      <c r="G76" s="25" t="str">
        <f t="shared" si="1"/>
        <v/>
      </c>
      <c r="H76" s="42"/>
    </row>
    <row r="77" spans="2:8" x14ac:dyDescent="0.2">
      <c r="B77" s="51"/>
      <c r="C77" s="14"/>
      <c r="D77" s="22"/>
      <c r="E77" s="244"/>
      <c r="F77" s="16"/>
      <c r="G77" s="25" t="str">
        <f t="shared" si="1"/>
        <v/>
      </c>
      <c r="H77" s="42"/>
    </row>
    <row r="78" spans="2:8" x14ac:dyDescent="0.2">
      <c r="B78" s="51" t="s">
        <v>107</v>
      </c>
      <c r="C78" s="14" t="s">
        <v>342</v>
      </c>
      <c r="D78" s="22" t="s">
        <v>170</v>
      </c>
      <c r="E78" s="246">
        <v>100000</v>
      </c>
      <c r="F78" s="16">
        <v>1</v>
      </c>
      <c r="G78" s="25">
        <f t="shared" si="1"/>
        <v>100000</v>
      </c>
      <c r="H78" s="42"/>
    </row>
    <row r="79" spans="2:8" x14ac:dyDescent="0.2">
      <c r="B79" s="51"/>
      <c r="C79" s="14"/>
      <c r="D79" s="22"/>
      <c r="E79" s="244"/>
      <c r="F79" s="16"/>
      <c r="G79" s="25" t="str">
        <f t="shared" si="1"/>
        <v/>
      </c>
      <c r="H79" s="42"/>
    </row>
    <row r="80" spans="2:8" ht="25.5" x14ac:dyDescent="0.2">
      <c r="B80" s="51" t="s">
        <v>330</v>
      </c>
      <c r="C80" s="14" t="s">
        <v>377</v>
      </c>
      <c r="D80" s="22" t="s">
        <v>25</v>
      </c>
      <c r="E80" s="246">
        <f>E78</f>
        <v>100000</v>
      </c>
      <c r="F80" s="16"/>
      <c r="G80" s="25">
        <f t="shared" si="1"/>
        <v>0</v>
      </c>
      <c r="H80" s="42"/>
    </row>
    <row r="81" spans="2:8" x14ac:dyDescent="0.2">
      <c r="B81" s="51"/>
      <c r="C81" s="14"/>
      <c r="D81" s="22"/>
      <c r="E81" s="22"/>
      <c r="F81" s="16"/>
      <c r="G81" s="25"/>
      <c r="H81" s="42"/>
    </row>
    <row r="82" spans="2:8" x14ac:dyDescent="0.2">
      <c r="B82" s="51"/>
      <c r="C82" s="14"/>
      <c r="D82" s="22"/>
      <c r="E82" s="22"/>
      <c r="F82" s="16"/>
      <c r="G82" s="25"/>
      <c r="H82" s="42"/>
    </row>
    <row r="83" spans="2:8" x14ac:dyDescent="0.2">
      <c r="B83" s="51"/>
      <c r="C83" s="14"/>
      <c r="D83" s="22"/>
      <c r="E83" s="22"/>
      <c r="F83" s="16"/>
      <c r="G83" s="25"/>
      <c r="H83" s="42"/>
    </row>
    <row r="84" spans="2:8" x14ac:dyDescent="0.2">
      <c r="B84" s="51"/>
      <c r="C84" s="14"/>
      <c r="D84" s="22"/>
      <c r="E84" s="22"/>
      <c r="F84" s="16"/>
      <c r="G84" s="25"/>
      <c r="H84" s="42"/>
    </row>
    <row r="85" spans="2:8" x14ac:dyDescent="0.2">
      <c r="B85" s="51"/>
      <c r="C85" s="14"/>
      <c r="D85" s="22"/>
      <c r="E85" s="22"/>
      <c r="F85" s="16"/>
      <c r="G85" s="25"/>
      <c r="H85" s="42"/>
    </row>
    <row r="86" spans="2:8" x14ac:dyDescent="0.2">
      <c r="B86" s="51"/>
      <c r="C86" s="14"/>
      <c r="D86" s="22"/>
      <c r="E86" s="22"/>
      <c r="F86" s="16"/>
      <c r="G86" s="25"/>
      <c r="H86" s="42"/>
    </row>
    <row r="87" spans="2:8" x14ac:dyDescent="0.2">
      <c r="B87" s="51"/>
      <c r="C87" s="14"/>
      <c r="D87" s="22"/>
      <c r="E87" s="22"/>
      <c r="F87" s="16"/>
      <c r="G87" s="25"/>
      <c r="H87" s="42"/>
    </row>
    <row r="88" spans="2:8" x14ac:dyDescent="0.2">
      <c r="B88" s="51"/>
      <c r="C88" s="14"/>
      <c r="D88" s="22"/>
      <c r="E88" s="22"/>
      <c r="F88" s="16"/>
      <c r="G88" s="25"/>
      <c r="H88" s="42"/>
    </row>
    <row r="89" spans="2:8" x14ac:dyDescent="0.2">
      <c r="B89" s="51"/>
      <c r="C89" s="14"/>
      <c r="D89" s="22"/>
      <c r="E89" s="22"/>
      <c r="F89" s="16"/>
      <c r="G89" s="25"/>
      <c r="H89" s="42"/>
    </row>
    <row r="90" spans="2:8" x14ac:dyDescent="0.2">
      <c r="B90" s="51"/>
      <c r="C90" s="14"/>
      <c r="D90" s="22"/>
      <c r="E90" s="22"/>
      <c r="F90" s="16"/>
      <c r="G90" s="25"/>
      <c r="H90" s="42"/>
    </row>
    <row r="91" spans="2:8" x14ac:dyDescent="0.2">
      <c r="B91" s="51"/>
      <c r="C91" s="14"/>
      <c r="D91" s="22"/>
      <c r="E91" s="22"/>
      <c r="F91" s="16"/>
      <c r="G91" s="25"/>
      <c r="H91" s="42"/>
    </row>
    <row r="92" spans="2:8" x14ac:dyDescent="0.2">
      <c r="B92" s="51"/>
      <c r="C92" s="14"/>
      <c r="D92" s="22"/>
      <c r="E92" s="22"/>
      <c r="F92" s="16"/>
      <c r="G92" s="25"/>
      <c r="H92" s="42"/>
    </row>
    <row r="93" spans="2:8" x14ac:dyDescent="0.2">
      <c r="B93" s="51"/>
      <c r="C93" s="14"/>
      <c r="D93" s="22"/>
      <c r="E93" s="22"/>
      <c r="F93" s="16"/>
      <c r="G93" s="25"/>
      <c r="H93" s="42"/>
    </row>
    <row r="94" spans="2:8" x14ac:dyDescent="0.2">
      <c r="B94" s="51"/>
      <c r="C94" s="14"/>
      <c r="D94" s="22"/>
      <c r="E94" s="22"/>
      <c r="F94" s="16"/>
      <c r="G94" s="25"/>
      <c r="H94" s="42"/>
    </row>
    <row r="95" spans="2:8" x14ac:dyDescent="0.2">
      <c r="B95" s="51"/>
      <c r="C95" s="14"/>
      <c r="D95" s="22"/>
      <c r="E95" s="22"/>
      <c r="F95" s="16"/>
      <c r="G95" s="25"/>
      <c r="H95" s="42"/>
    </row>
    <row r="96" spans="2:8" x14ac:dyDescent="0.2">
      <c r="B96" s="51"/>
      <c r="C96" s="14"/>
      <c r="D96" s="22"/>
      <c r="E96" s="22"/>
      <c r="F96" s="16"/>
      <c r="G96" s="25"/>
      <c r="H96" s="42"/>
    </row>
    <row r="97" spans="2:8" x14ac:dyDescent="0.2">
      <c r="B97" s="51"/>
      <c r="C97" s="14"/>
      <c r="D97" s="22"/>
      <c r="E97" s="22"/>
      <c r="F97" s="16"/>
      <c r="G97" s="25"/>
      <c r="H97" s="42"/>
    </row>
    <row r="98" spans="2:8" x14ac:dyDescent="0.2">
      <c r="B98" s="51"/>
      <c r="C98" s="14"/>
      <c r="D98" s="22"/>
      <c r="E98" s="22"/>
      <c r="F98" s="16"/>
      <c r="G98" s="25"/>
      <c r="H98" s="42"/>
    </row>
    <row r="99" spans="2:8" x14ac:dyDescent="0.2">
      <c r="B99" s="51"/>
      <c r="C99" s="14"/>
      <c r="D99" s="22"/>
      <c r="E99" s="22"/>
      <c r="F99" s="16"/>
      <c r="G99" s="25"/>
      <c r="H99" s="42"/>
    </row>
    <row r="100" spans="2:8" x14ac:dyDescent="0.2">
      <c r="B100" s="51"/>
      <c r="C100" s="14"/>
      <c r="D100" s="22"/>
      <c r="E100" s="22"/>
      <c r="F100" s="16"/>
      <c r="G100" s="25"/>
      <c r="H100" s="42"/>
    </row>
    <row r="101" spans="2:8" x14ac:dyDescent="0.2">
      <c r="B101" s="51"/>
      <c r="C101" s="14"/>
      <c r="D101" s="22"/>
      <c r="E101" s="22"/>
      <c r="F101" s="16"/>
      <c r="G101" s="25"/>
      <c r="H101" s="42"/>
    </row>
    <row r="102" spans="2:8" x14ac:dyDescent="0.2">
      <c r="B102" s="51"/>
      <c r="C102" s="14"/>
      <c r="D102" s="22"/>
      <c r="E102" s="22"/>
      <c r="F102" s="16"/>
      <c r="G102" s="25"/>
      <c r="H102" s="42"/>
    </row>
    <row r="103" spans="2:8" x14ac:dyDescent="0.2">
      <c r="B103" s="51"/>
      <c r="C103" s="14"/>
      <c r="D103" s="22"/>
      <c r="E103" s="22"/>
      <c r="F103" s="16"/>
      <c r="G103" s="25"/>
      <c r="H103" s="42"/>
    </row>
    <row r="104" spans="2:8" x14ac:dyDescent="0.2">
      <c r="B104" s="51"/>
      <c r="C104" s="14"/>
      <c r="D104" s="22"/>
      <c r="E104" s="22"/>
      <c r="F104" s="16"/>
      <c r="G104" s="25"/>
      <c r="H104" s="42"/>
    </row>
    <row r="105" spans="2:8" x14ac:dyDescent="0.2">
      <c r="B105" s="51"/>
      <c r="C105" s="14"/>
      <c r="D105" s="22"/>
      <c r="E105" s="22"/>
      <c r="F105" s="16"/>
      <c r="G105" s="25"/>
      <c r="H105" s="42"/>
    </row>
    <row r="106" spans="2:8" x14ac:dyDescent="0.2">
      <c r="B106" s="51"/>
      <c r="C106" s="14"/>
      <c r="D106" s="22"/>
      <c r="E106" s="22"/>
      <c r="F106" s="16"/>
      <c r="G106" s="25"/>
      <c r="H106" s="42"/>
    </row>
    <row r="107" spans="2:8" x14ac:dyDescent="0.2">
      <c r="B107" s="51"/>
      <c r="C107" s="14"/>
      <c r="D107" s="22"/>
      <c r="E107" s="22"/>
      <c r="F107" s="16"/>
      <c r="G107" s="25"/>
      <c r="H107" s="42"/>
    </row>
    <row r="108" spans="2:8" x14ac:dyDescent="0.2">
      <c r="B108" s="51"/>
      <c r="C108" s="14"/>
      <c r="D108" s="22"/>
      <c r="E108" s="22"/>
      <c r="F108" s="16"/>
      <c r="G108" s="25"/>
      <c r="H108" s="42"/>
    </row>
    <row r="109" spans="2:8" x14ac:dyDescent="0.2">
      <c r="B109" s="51"/>
      <c r="C109" s="14"/>
      <c r="D109" s="22"/>
      <c r="E109" s="22"/>
      <c r="F109" s="16"/>
      <c r="G109" s="25"/>
      <c r="H109" s="42"/>
    </row>
    <row r="110" spans="2:8" x14ac:dyDescent="0.2">
      <c r="B110" s="51"/>
      <c r="C110" s="14"/>
      <c r="D110" s="22"/>
      <c r="E110" s="22"/>
      <c r="F110" s="16"/>
      <c r="G110" s="25"/>
      <c r="H110" s="42"/>
    </row>
    <row r="111" spans="2:8" x14ac:dyDescent="0.2">
      <c r="B111" s="51"/>
      <c r="C111" s="14"/>
      <c r="D111" s="22"/>
      <c r="E111" s="22"/>
      <c r="F111" s="16"/>
      <c r="G111" s="25"/>
      <c r="H111" s="42"/>
    </row>
    <row r="112" spans="2:8" x14ac:dyDescent="0.2">
      <c r="B112" s="51"/>
      <c r="C112" s="14"/>
      <c r="D112" s="22"/>
      <c r="E112" s="22"/>
      <c r="F112" s="16"/>
      <c r="G112" s="25"/>
      <c r="H112" s="42"/>
    </row>
    <row r="113" spans="2:8" x14ac:dyDescent="0.2">
      <c r="B113" s="51"/>
      <c r="C113" s="14"/>
      <c r="D113" s="22"/>
      <c r="E113" s="22"/>
      <c r="F113" s="16"/>
      <c r="G113" s="25"/>
      <c r="H113" s="42"/>
    </row>
    <row r="114" spans="2:8" x14ac:dyDescent="0.2">
      <c r="B114" s="51"/>
      <c r="C114" s="14"/>
      <c r="D114" s="22"/>
      <c r="E114" s="22"/>
      <c r="F114" s="16"/>
      <c r="G114" s="25"/>
      <c r="H114" s="42"/>
    </row>
    <row r="115" spans="2:8" x14ac:dyDescent="0.2">
      <c r="B115" s="51"/>
      <c r="C115" s="14"/>
      <c r="D115" s="22"/>
      <c r="E115" s="22"/>
      <c r="F115" s="16"/>
      <c r="G115" s="25"/>
      <c r="H115" s="42"/>
    </row>
    <row r="116" spans="2:8" x14ac:dyDescent="0.2">
      <c r="B116" s="51"/>
      <c r="C116" s="14"/>
      <c r="D116" s="22"/>
      <c r="E116" s="22"/>
      <c r="F116" s="40"/>
      <c r="G116" s="17" t="str">
        <f>IF(D116="","",E116*F116)</f>
        <v/>
      </c>
      <c r="H116" s="42"/>
    </row>
    <row r="117" spans="2:8" s="30" customFormat="1" ht="19.5" customHeight="1" x14ac:dyDescent="0.2">
      <c r="B117" s="121" t="str">
        <f>$B$11</f>
        <v>F</v>
      </c>
      <c r="C117" s="32" t="s">
        <v>312</v>
      </c>
      <c r="D117" s="33"/>
      <c r="E117" s="34"/>
      <c r="F117" s="33"/>
      <c r="G117" s="352">
        <f>SUM(G56:G116)</f>
        <v>15964351</v>
      </c>
      <c r="H117" s="36"/>
    </row>
  </sheetData>
  <mergeCells count="11">
    <mergeCell ref="B51:F51"/>
    <mergeCell ref="G51:G54"/>
    <mergeCell ref="B52:F54"/>
    <mergeCell ref="E2:G2"/>
    <mergeCell ref="B5:F5"/>
    <mergeCell ref="G5:G8"/>
    <mergeCell ref="B6:F8"/>
    <mergeCell ref="B48:D48"/>
    <mergeCell ref="E48:G50"/>
    <mergeCell ref="B49:D49"/>
    <mergeCell ref="B50:D50"/>
  </mergeCells>
  <pageMargins left="0.62992125984251968" right="0.43307086614173229" top="0.62992125984251968" bottom="0.55118110236220474" header="0.51181102362204722" footer="0.31496062992125984"/>
  <pageSetup paperSize="9" scale="77"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47" max="7" man="1"/>
  </rowBreaks>
  <extLst>
    <ext xmlns:x14="http://schemas.microsoft.com/office/spreadsheetml/2009/9/main" uri="{78C0D931-6437-407d-A8EE-F0AAD7539E65}">
      <x14:conditionalFormattings>
        <x14:conditionalFormatting xmlns:xm="http://schemas.microsoft.com/office/excel/2006/main">
          <x14:cfRule type="expression" priority="4" id="{371FBB62-238E-40E9-A8E0-D76B17169618}">
            <xm:f>AND(Information!$C$8=FALSE,$D11&lt;&gt;"P C Sum",$D11&lt;&gt;"PC Sum",$D11&lt;&gt;"P Sum",$D11&lt;&gt;"Prov Sum")</xm:f>
            <x14:dxf>
              <font>
                <strike val="0"/>
                <color theme="0"/>
              </font>
              <numFmt numFmtId="4" formatCode="#,##0.00"/>
            </x14:dxf>
          </x14:cfRule>
          <xm:sqref>F11:G45</xm:sqref>
        </x14:conditionalFormatting>
        <x14:conditionalFormatting xmlns:xm="http://schemas.microsoft.com/office/excel/2006/main">
          <x14:cfRule type="expression" priority="3" id="{FE133082-4D15-4218-BA10-515EFC556CDA}">
            <xm:f>AND(Information!$C$8=FALSE,$D58&lt;&gt;"P C Sum",$D58&lt;&gt;"PC Sum",$D58&lt;&gt;"P Sum",$D58&lt;&gt;"Prov Sum")</xm:f>
            <x14:dxf>
              <font>
                <strike val="0"/>
                <color theme="0"/>
              </font>
              <numFmt numFmtId="4" formatCode="#,##0.00"/>
            </x14:dxf>
          </x14:cfRule>
          <xm:sqref>F58:G115</xm:sqref>
        </x14:conditionalFormatting>
        <x14:conditionalFormatting xmlns:xm="http://schemas.microsoft.com/office/excel/2006/main">
          <x14:cfRule type="expression" priority="2" id="{3B535FB8-F4F4-47FB-B7EE-CF54BBE57594}">
            <xm:f>AND(Information!$C$8=FALSE,$D47&lt;&gt;"P C Sum",$D47&lt;&gt;"PC Sum",$D47&lt;&gt;"P Sum",$D47&lt;&gt;"Prov Sum")</xm:f>
            <x14:dxf>
              <font>
                <strike val="0"/>
                <color theme="0"/>
              </font>
              <numFmt numFmtId="4" formatCode="#,##0.00"/>
            </x14:dxf>
          </x14:cfRule>
          <xm:sqref>G47</xm:sqref>
        </x14:conditionalFormatting>
        <x14:conditionalFormatting xmlns:xm="http://schemas.microsoft.com/office/excel/2006/main">
          <x14:cfRule type="expression" priority="1" id="{3C571401-8C24-4F41-902F-C6213A5007A0}">
            <xm:f>AND(Information!$C$8=FALSE,$D117&lt;&gt;"P C Sum",$D117&lt;&gt;"PC Sum",$D117&lt;&gt;"P Sum",$D117&lt;&gt;"Prov Sum")</xm:f>
            <x14:dxf>
              <font>
                <strike val="0"/>
                <color theme="0"/>
              </font>
              <numFmt numFmtId="4" formatCode="#,##0.00"/>
            </x14:dxf>
          </x14:cfRule>
          <xm:sqref>G117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4918-0D3A-4577-ABF6-8036AC4FDCB4}">
  <sheetPr>
    <tabColor theme="3" tint="0.59999389629810485"/>
  </sheetPr>
  <dimension ref="B1:N164"/>
  <sheetViews>
    <sheetView showGridLines="0" view="pageBreakPreview" zoomScaleNormal="100" zoomScaleSheetLayoutView="100" zoomScalePageLayoutView="150" workbookViewId="0">
      <selection activeCell="E32" sqref="E32"/>
    </sheetView>
  </sheetViews>
  <sheetFormatPr defaultColWidth="8.85546875" defaultRowHeight="12.75" x14ac:dyDescent="0.2"/>
  <cols>
    <col min="1" max="1" width="2" style="80" customWidth="1"/>
    <col min="2" max="2" width="8.42578125" style="222" customWidth="1"/>
    <col min="3" max="3" width="55.85546875" style="53" customWidth="1"/>
    <col min="4" max="4" width="6.5703125" style="53" customWidth="1"/>
    <col min="5" max="5" width="21.85546875" style="115" customWidth="1"/>
    <col min="6" max="6" width="1.42578125" style="80" customWidth="1"/>
    <col min="7" max="7" width="4.42578125" style="80" customWidth="1"/>
    <col min="8" max="8" width="9.5703125" style="80" customWidth="1"/>
    <col min="9" max="9" width="11.42578125" style="116" customWidth="1"/>
    <col min="10" max="10" width="11.5703125" style="80" bestFit="1" customWidth="1"/>
    <col min="11" max="11" width="8.85546875" style="80"/>
    <col min="12" max="12" width="15.42578125" style="80" customWidth="1"/>
    <col min="13" max="13" width="12.5703125" style="80" customWidth="1"/>
    <col min="14" max="14" width="9.42578125" style="80" customWidth="1"/>
    <col min="15" max="16384" width="8.85546875" style="80"/>
  </cols>
  <sheetData>
    <row r="1" spans="2:14" s="1" customFormat="1" ht="18" customHeight="1" x14ac:dyDescent="0.2">
      <c r="B1" s="2" t="str">
        <f>Client1</f>
        <v>Province of KwaZulu-Natal</v>
      </c>
      <c r="C1" s="3"/>
      <c r="D1" s="3"/>
      <c r="F1" s="6" t="str">
        <f>"Contract No. "&amp;ContractNo</f>
        <v>Contract No. ZNB02287/00000/00/MET/INF/24/T</v>
      </c>
      <c r="H1" s="4"/>
      <c r="I1" s="168"/>
      <c r="M1" s="4"/>
    </row>
    <row r="2" spans="2:14" s="1" customFormat="1" ht="16.5" customHeight="1" x14ac:dyDescent="0.2">
      <c r="B2" s="81" t="str">
        <f>Client2</f>
        <v>Department of Transport</v>
      </c>
      <c r="C2" s="3"/>
      <c r="D2" s="3"/>
      <c r="E2" s="4"/>
      <c r="F2" s="4"/>
      <c r="G2" s="4"/>
      <c r="H2" s="4"/>
      <c r="I2" s="168"/>
      <c r="K2" s="5"/>
      <c r="L2" s="5"/>
      <c r="M2" s="4"/>
    </row>
    <row r="3" spans="2:14" s="1" customFormat="1" ht="13.5" customHeight="1" x14ac:dyDescent="0.2">
      <c r="B3" s="167"/>
      <c r="C3" s="3"/>
      <c r="D3" s="3"/>
      <c r="E3" s="4"/>
      <c r="F3" s="4"/>
      <c r="G3" s="4"/>
      <c r="H3" s="4"/>
      <c r="I3" s="168"/>
      <c r="K3" s="5"/>
      <c r="L3" s="5"/>
      <c r="M3" s="4"/>
    </row>
    <row r="4" spans="2:14" s="1" customFormat="1" ht="13.5" customHeight="1" x14ac:dyDescent="0.2">
      <c r="B4" s="167"/>
      <c r="C4" s="3"/>
      <c r="D4" s="3"/>
      <c r="E4" s="4"/>
      <c r="F4" s="4"/>
      <c r="G4" s="4"/>
      <c r="H4" s="4"/>
      <c r="I4" s="168"/>
      <c r="K4" s="5"/>
      <c r="L4" s="5"/>
      <c r="M4" s="4"/>
    </row>
    <row r="5" spans="2:14" ht="12.75" customHeight="1" x14ac:dyDescent="0.2">
      <c r="B5" s="256" t="str">
        <f>'[2]Sch G'!B6</f>
        <v>SCHEDULE G: CONTRACT PARTICIPATION GOALS</v>
      </c>
      <c r="C5" s="12"/>
      <c r="D5" s="12"/>
      <c r="E5" s="12"/>
    </row>
    <row r="6" spans="2:14" ht="12.75" customHeight="1" x14ac:dyDescent="0.2">
      <c r="B6" s="8"/>
      <c r="C6" s="7"/>
      <c r="D6" s="7"/>
      <c r="E6" s="7"/>
    </row>
    <row r="7" spans="2:14" ht="12.75" customHeight="1" x14ac:dyDescent="0.2">
      <c r="B7" s="733" t="s">
        <v>464</v>
      </c>
      <c r="C7" s="733"/>
      <c r="D7" s="733"/>
      <c r="E7" s="733"/>
    </row>
    <row r="8" spans="2:14" ht="12.75" customHeight="1" x14ac:dyDescent="0.2">
      <c r="B8" s="257"/>
      <c r="C8" s="257"/>
      <c r="D8" s="257"/>
      <c r="E8" s="257"/>
    </row>
    <row r="9" spans="2:14" ht="25.5" customHeight="1" x14ac:dyDescent="0.2">
      <c r="B9" s="732" t="str">
        <f>ContractDescription</f>
        <v>PROVISION OF ROUTINE AND SAFETY MAINTENANCE ON MIAN ROAD P3/1 (KM 69.00 TO KM 77.96), P3/2 (KM 0.00 TO KM 11.50), P21/2(KM 0.00 TO KM 29.83 IN THE ETHEKWINI METRO - DURBAN REGION</v>
      </c>
      <c r="C9" s="732"/>
      <c r="D9" s="732"/>
      <c r="E9" s="732"/>
      <c r="F9" s="222"/>
      <c r="G9" s="258"/>
      <c r="H9" s="222"/>
    </row>
    <row r="10" spans="2:14" ht="5.25" customHeight="1" thickBot="1" x14ac:dyDescent="0.25">
      <c r="B10" s="734"/>
      <c r="C10" s="734"/>
      <c r="D10" s="734"/>
      <c r="E10" s="734"/>
    </row>
    <row r="11" spans="2:14" s="12" customFormat="1" ht="24.95" customHeight="1" thickBot="1" x14ac:dyDescent="0.25">
      <c r="B11" s="173" t="s">
        <v>315</v>
      </c>
      <c r="C11" s="174" t="s">
        <v>1</v>
      </c>
      <c r="D11" s="259" t="s">
        <v>307</v>
      </c>
      <c r="E11" s="175" t="s">
        <v>5</v>
      </c>
      <c r="I11" s="179"/>
    </row>
    <row r="12" spans="2:14" ht="21" customHeight="1" x14ac:dyDescent="0.2">
      <c r="B12" s="182" t="s">
        <v>340</v>
      </c>
      <c r="C12" s="260" t="str">
        <f>'Chapter F'!C11</f>
        <v>SMALL CONTRACTOR DEVELOPMENT</v>
      </c>
      <c r="D12" s="264">
        <f>Page_F-1</f>
        <v>53</v>
      </c>
      <c r="E12" s="354">
        <f>'Chapter F'!G117</f>
        <v>15964351</v>
      </c>
      <c r="H12" s="12"/>
      <c r="I12" s="187"/>
    </row>
    <row r="13" spans="2:14" ht="9" customHeight="1" thickBot="1" x14ac:dyDescent="0.25">
      <c r="B13" s="204"/>
      <c r="C13" s="253"/>
      <c r="D13" s="265"/>
      <c r="E13" s="355"/>
      <c r="H13" s="12"/>
      <c r="I13" s="187"/>
    </row>
    <row r="14" spans="2:14" ht="23.45" customHeight="1" thickBot="1" x14ac:dyDescent="0.25">
      <c r="B14" s="261" t="str">
        <f>"TOTAL CARRIED FORWARD TO SUMMARY (Page C"&amp;_Summary&amp;")"</f>
        <v>TOTAL CARRIED FORWARD TO SUMMARY (Page C55)</v>
      </c>
      <c r="C14" s="262"/>
      <c r="D14" s="263"/>
      <c r="E14" s="356">
        <f>SUM(E12:E13)</f>
        <v>15964351</v>
      </c>
      <c r="N14" s="80">
        <f>31+26</f>
        <v>57</v>
      </c>
    </row>
    <row r="15" spans="2:14" x14ac:dyDescent="0.2">
      <c r="E15" s="223"/>
      <c r="G15" s="266"/>
    </row>
    <row r="66" spans="2:8" x14ac:dyDescent="0.2">
      <c r="B66" s="9"/>
      <c r="C66" s="9"/>
      <c r="D66" s="9"/>
      <c r="E66" s="9"/>
      <c r="F66" s="222"/>
      <c r="G66" s="222"/>
      <c r="H66" s="222"/>
    </row>
    <row r="164" spans="2:8" x14ac:dyDescent="0.2">
      <c r="B164" s="9"/>
      <c r="C164" s="9"/>
      <c r="D164" s="9"/>
      <c r="E164" s="9"/>
      <c r="F164" s="222"/>
      <c r="G164" s="222"/>
      <c r="H164" s="222"/>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8A2E7C56-0176-4D00-9666-0FB516D9A77F}">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31C2-D09F-4FBF-A1D5-490928F4FD95}">
  <sheetPr>
    <tabColor theme="3" tint="0.59999389629810485"/>
  </sheetPr>
  <dimension ref="A1:L166"/>
  <sheetViews>
    <sheetView showGridLines="0" view="pageBreakPreview" zoomScale="87" zoomScaleNormal="100" zoomScaleSheetLayoutView="87" zoomScalePageLayoutView="150" workbookViewId="0">
      <selection activeCell="H25" sqref="H25"/>
    </sheetView>
  </sheetViews>
  <sheetFormatPr defaultColWidth="8.85546875" defaultRowHeight="12.75" x14ac:dyDescent="0.2"/>
  <cols>
    <col min="1" max="1" width="3.5703125" style="80" customWidth="1"/>
    <col min="2" max="2" width="8.42578125" style="222" customWidth="1"/>
    <col min="3" max="3" width="47.5703125" style="53" customWidth="1"/>
    <col min="4" max="4" width="7" style="53" customWidth="1"/>
    <col min="5" max="5" width="24.5703125" style="115" customWidth="1"/>
    <col min="6" max="6" width="4.85546875" style="80" customWidth="1"/>
    <col min="7" max="7" width="3.85546875" style="80" customWidth="1"/>
    <col min="8" max="8" width="14.5703125" style="80" customWidth="1"/>
    <col min="9" max="9" width="11.42578125" style="116" customWidth="1"/>
    <col min="10" max="10" width="15.42578125" style="80" customWidth="1"/>
    <col min="11" max="11" width="12.5703125" style="80" customWidth="1"/>
    <col min="12" max="12" width="15.140625" style="80" bestFit="1" customWidth="1"/>
    <col min="13" max="16384" width="8.85546875" style="80"/>
  </cols>
  <sheetData>
    <row r="1" spans="2:12" s="1" customFormat="1" ht="18" customHeight="1" x14ac:dyDescent="0.2">
      <c r="B1" s="2" t="str">
        <f>Client1</f>
        <v>Province of KwaZulu-Natal</v>
      </c>
      <c r="C1" s="3"/>
      <c r="D1" s="3"/>
      <c r="F1" s="6" t="str">
        <f>"Contract No. "&amp;ContractNo</f>
        <v>Contract No. ZNB02287/00000/00/MET/INF/24/T</v>
      </c>
      <c r="H1" s="4"/>
      <c r="I1" s="168"/>
      <c r="K1" s="4"/>
    </row>
    <row r="2" spans="2:12" s="1" customFormat="1" ht="16.5" customHeight="1" x14ac:dyDescent="0.2">
      <c r="B2" s="81" t="str">
        <f>Client2</f>
        <v>Department of Transport</v>
      </c>
      <c r="C2" s="3"/>
      <c r="D2" s="3"/>
      <c r="E2" s="4"/>
      <c r="F2" s="4"/>
      <c r="G2" s="4"/>
      <c r="H2" s="4"/>
      <c r="I2" s="168"/>
      <c r="J2" s="5"/>
      <c r="K2" s="4"/>
    </row>
    <row r="3" spans="2:12" s="1" customFormat="1" ht="13.5" customHeight="1" x14ac:dyDescent="0.2">
      <c r="B3" s="81"/>
      <c r="C3" s="3"/>
      <c r="D3" s="3"/>
      <c r="E3" s="4"/>
      <c r="F3" s="4"/>
      <c r="G3" s="4"/>
      <c r="H3" s="4"/>
      <c r="I3" s="168"/>
      <c r="J3" s="5"/>
      <c r="K3" s="4"/>
    </row>
    <row r="4" spans="2:12" ht="12.75" customHeight="1" x14ac:dyDescent="0.2">
      <c r="B4" s="732" t="s">
        <v>308</v>
      </c>
      <c r="C4" s="732"/>
      <c r="D4" s="732"/>
      <c r="E4" s="732"/>
    </row>
    <row r="5" spans="2:12" ht="12.75" customHeight="1" x14ac:dyDescent="0.2">
      <c r="B5" s="7"/>
      <c r="C5" s="7"/>
      <c r="D5" s="7"/>
      <c r="E5" s="7"/>
    </row>
    <row r="6" spans="2:12" ht="25.5" customHeight="1" x14ac:dyDescent="0.2">
      <c r="B6" s="732" t="str">
        <f>ContractDescription</f>
        <v>PROVISION OF ROUTINE AND SAFETY MAINTENANCE ON MIAN ROAD P3/1 (KM 69.00 TO KM 77.96), P3/2 (KM 0.00 TO KM 11.50), P21/2(KM 0.00 TO KM 29.83 IN THE ETHEKWINI METRO - DURBAN REGION</v>
      </c>
      <c r="C6" s="732"/>
      <c r="D6" s="732"/>
      <c r="E6" s="732"/>
    </row>
    <row r="7" spans="2:12" ht="5.25" customHeight="1" thickBot="1" x14ac:dyDescent="0.25">
      <c r="B7" s="734"/>
      <c r="C7" s="734"/>
      <c r="D7" s="734"/>
      <c r="E7" s="734"/>
    </row>
    <row r="8" spans="2:12" s="12" customFormat="1" ht="24.95" customHeight="1" thickBot="1" x14ac:dyDescent="0.25">
      <c r="B8" s="267"/>
      <c r="C8" s="268" t="s">
        <v>1</v>
      </c>
      <c r="D8" s="259" t="s">
        <v>307</v>
      </c>
      <c r="E8" s="175" t="s">
        <v>5</v>
      </c>
      <c r="I8" s="179"/>
    </row>
    <row r="9" spans="2:12" ht="21" customHeight="1" x14ac:dyDescent="0.2">
      <c r="B9" s="269" t="s">
        <v>442</v>
      </c>
      <c r="C9" s="270"/>
      <c r="D9" s="264" t="s">
        <v>1093</v>
      </c>
      <c r="E9" s="354">
        <f>'A1'!E43</f>
        <v>520000</v>
      </c>
      <c r="H9" s="12"/>
      <c r="I9" s="187"/>
    </row>
    <row r="10" spans="2:12" ht="21" customHeight="1" x14ac:dyDescent="0.2">
      <c r="B10" s="269" t="s">
        <v>1127</v>
      </c>
      <c r="C10" s="270"/>
      <c r="D10" s="264" t="s">
        <v>1128</v>
      </c>
      <c r="E10" s="354">
        <f>'E1'!E14</f>
        <v>605000</v>
      </c>
      <c r="H10" s="12"/>
      <c r="I10" s="187"/>
    </row>
    <row r="11" spans="2:12" ht="21" customHeight="1" x14ac:dyDescent="0.2">
      <c r="B11" s="269" t="s">
        <v>468</v>
      </c>
      <c r="C11" s="271"/>
      <c r="D11" s="264" t="s">
        <v>1094</v>
      </c>
      <c r="E11" s="354">
        <f>'F1'!E14</f>
        <v>15964351</v>
      </c>
      <c r="H11" s="12"/>
      <c r="I11" s="187"/>
    </row>
    <row r="12" spans="2:12" ht="5.25" customHeight="1" thickBot="1" x14ac:dyDescent="0.25">
      <c r="B12" s="272"/>
      <c r="C12" s="273"/>
      <c r="D12" s="274"/>
      <c r="E12" s="355"/>
    </row>
    <row r="13" spans="2:12" ht="21" customHeight="1" thickBot="1" x14ac:dyDescent="0.25">
      <c r="B13" s="261" t="s">
        <v>459</v>
      </c>
      <c r="C13" s="262"/>
      <c r="D13" s="262"/>
      <c r="E13" s="356">
        <f>ROUND(SUM(E9:E12),2)</f>
        <v>17089351</v>
      </c>
      <c r="H13" s="80">
        <f>'[2]1300'!M1</f>
        <v>11940000</v>
      </c>
      <c r="I13" s="187">
        <f>H13/E13</f>
        <v>0.69868071642978136</v>
      </c>
      <c r="J13" s="275"/>
    </row>
    <row r="14" spans="2:12" ht="21" customHeight="1" thickBot="1" x14ac:dyDescent="0.25">
      <c r="B14" s="261" t="s">
        <v>1129</v>
      </c>
      <c r="C14" s="262"/>
      <c r="D14" s="262"/>
      <c r="E14" s="356">
        <f>E13*0.25%</f>
        <v>42723.377500000002</v>
      </c>
      <c r="I14" s="187"/>
      <c r="J14" s="275"/>
    </row>
    <row r="15" spans="2:12" ht="21" customHeight="1" thickBot="1" x14ac:dyDescent="0.25">
      <c r="B15" s="587" t="s">
        <v>460</v>
      </c>
      <c r="C15" s="281"/>
      <c r="D15" s="281"/>
      <c r="E15" s="356">
        <f>E13+E14</f>
        <v>17132074.377500001</v>
      </c>
      <c r="I15" s="187"/>
      <c r="J15" s="275"/>
    </row>
    <row r="16" spans="2:12" ht="21.75" customHeight="1" thickBot="1" x14ac:dyDescent="0.25">
      <c r="B16" s="276" t="str">
        <f>"CONTINGENCIES ("&amp;TEXT(I16,"0.0%")&amp;" of Subtotal 2)"</f>
        <v>CONTINGENCIES (5.0% of Subtotal 2)</v>
      </c>
      <c r="C16" s="274"/>
      <c r="D16" s="274"/>
      <c r="E16" s="356">
        <f>E15*5%</f>
        <v>856603.71887500014</v>
      </c>
      <c r="H16" s="277" t="s">
        <v>465</v>
      </c>
      <c r="I16" s="278">
        <v>0.05</v>
      </c>
      <c r="L16" s="275">
        <f>31+26</f>
        <v>57</v>
      </c>
    </row>
    <row r="17" spans="2:9" ht="21" customHeight="1" thickBot="1" x14ac:dyDescent="0.25">
      <c r="B17" s="261" t="s">
        <v>461</v>
      </c>
      <c r="C17" s="262"/>
      <c r="D17" s="262"/>
      <c r="E17" s="356">
        <f>SUM(E15:E16)</f>
        <v>17988678.096375</v>
      </c>
      <c r="G17" s="266"/>
    </row>
    <row r="18" spans="2:9" ht="21" customHeight="1" thickBot="1" x14ac:dyDescent="0.25">
      <c r="B18" s="279" t="str">
        <f>"CONTRACT PRICE ADJUSTMENT AND RISE &amp; FALL ("&amp;TEXT(I18,"0.0%")&amp;" of Subtotal 3)"</f>
        <v>CONTRACT PRICE ADJUSTMENT AND RISE &amp; FALL (10.0% of Subtotal 3)</v>
      </c>
      <c r="C18" s="85"/>
      <c r="D18" s="85"/>
      <c r="E18" s="356">
        <f>ROUND(E17*$I$18,2)</f>
        <v>1798867.81</v>
      </c>
      <c r="H18" s="277" t="s">
        <v>466</v>
      </c>
      <c r="I18" s="278">
        <v>0.1</v>
      </c>
    </row>
    <row r="19" spans="2:9" ht="21" customHeight="1" thickBot="1" x14ac:dyDescent="0.25">
      <c r="B19" s="261" t="s">
        <v>1130</v>
      </c>
      <c r="C19" s="262"/>
      <c r="D19" s="262"/>
      <c r="E19" s="356">
        <f>SUM(E17:E18)</f>
        <v>19787545.906374998</v>
      </c>
    </row>
    <row r="20" spans="2:9" ht="21" customHeight="1" thickBot="1" x14ac:dyDescent="0.25">
      <c r="B20" s="279" t="s">
        <v>1131</v>
      </c>
      <c r="C20" s="85"/>
      <c r="D20" s="85"/>
      <c r="E20" s="356">
        <f>ROUND(E19*15%,2)</f>
        <v>2968131.89</v>
      </c>
    </row>
    <row r="21" spans="2:9" ht="23.45" customHeight="1" thickBot="1" x14ac:dyDescent="0.25">
      <c r="B21" s="261" t="s">
        <v>309</v>
      </c>
      <c r="C21" s="262"/>
      <c r="D21" s="262"/>
      <c r="E21" s="356">
        <f>SUM(E19:E20)</f>
        <v>22755677.796374999</v>
      </c>
    </row>
    <row r="22" spans="2:9" ht="23.45" customHeight="1" x14ac:dyDescent="0.2">
      <c r="B22" s="280"/>
      <c r="C22" s="281"/>
      <c r="D22" s="281"/>
      <c r="E22" s="282"/>
    </row>
    <row r="23" spans="2:9" ht="66" customHeight="1" x14ac:dyDescent="0.2">
      <c r="B23" s="741" t="s">
        <v>467</v>
      </c>
      <c r="C23" s="742"/>
      <c r="D23" s="742"/>
      <c r="E23" s="742"/>
    </row>
    <row r="24" spans="2:9" ht="13.5" customHeight="1" x14ac:dyDescent="0.2">
      <c r="B24" s="280"/>
      <c r="C24" s="281"/>
      <c r="D24" s="281"/>
      <c r="E24" s="282"/>
    </row>
    <row r="25" spans="2:9" ht="23.45" customHeight="1" x14ac:dyDescent="0.2">
      <c r="B25" s="743" t="s">
        <v>310</v>
      </c>
      <c r="C25" s="743"/>
      <c r="D25" s="743"/>
      <c r="E25" s="743"/>
    </row>
    <row r="26" spans="2:9" ht="57.75" customHeight="1" x14ac:dyDescent="0.2">
      <c r="B26" s="744" t="s">
        <v>311</v>
      </c>
      <c r="C26" s="744"/>
      <c r="D26" s="744"/>
      <c r="E26" s="744"/>
    </row>
    <row r="68" spans="1:12" s="116" customFormat="1" x14ac:dyDescent="0.2">
      <c r="A68" s="80"/>
      <c r="B68" s="283"/>
      <c r="C68" s="284"/>
      <c r="D68" s="264"/>
      <c r="E68" s="285"/>
      <c r="F68" s="222"/>
      <c r="G68" s="222"/>
      <c r="H68" s="12"/>
      <c r="J68" s="80"/>
      <c r="K68" s="80"/>
      <c r="L68" s="80"/>
    </row>
    <row r="166" spans="1:12" s="116" customFormat="1" x14ac:dyDescent="0.2">
      <c r="A166" s="80"/>
      <c r="B166" s="283"/>
      <c r="C166" s="284"/>
      <c r="D166" s="264"/>
      <c r="E166" s="285"/>
      <c r="F166" s="222"/>
      <c r="G166" s="222"/>
      <c r="H166" s="12"/>
      <c r="J166" s="80"/>
      <c r="K166" s="80"/>
      <c r="L166" s="80"/>
    </row>
  </sheetData>
  <mergeCells count="6">
    <mergeCell ref="B4:E4"/>
    <mergeCell ref="B7:E7"/>
    <mergeCell ref="B23:E23"/>
    <mergeCell ref="B25:E25"/>
    <mergeCell ref="B26:E26"/>
    <mergeCell ref="B6:E6"/>
  </mergeCells>
  <pageMargins left="0.62992125984251968" right="0.43307086614173229" top="0.62992125984251968" bottom="0.55118110236220474" header="0.51181102362204722" footer="0.31496062992125984"/>
  <pageSetup paperSize="9" scale="90"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2EF59541-F89D-4F5A-9C62-2187EA7A7145}">
            <xm:f>AND(Information!$C$8=FALSE,$D9&lt;&gt;"P C Sum",$D9&lt;&gt;"PC Sum",$D9&lt;&gt;"P Sum",$D9&lt;&gt;"Prov Sum")</xm:f>
            <x14:dxf>
              <font>
                <strike val="0"/>
                <color theme="0"/>
              </font>
              <numFmt numFmtId="4" formatCode="#,##0.00"/>
            </x14:dxf>
          </x14:cfRule>
          <xm:sqref>E9:E21</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3641-295A-405D-8BD2-96A7D25A79AB}">
  <sheetPr>
    <tabColor theme="9" tint="-0.249977111117893"/>
    <pageSetUpPr fitToPage="1"/>
  </sheetPr>
  <dimension ref="B1:W71"/>
  <sheetViews>
    <sheetView showGridLines="0" view="pageBreakPreview" topLeftCell="D19" zoomScale="85" zoomScaleNormal="100" zoomScaleSheetLayoutView="85" zoomScalePageLayoutView="150" workbookViewId="0">
      <selection activeCell="O50" sqref="O50"/>
    </sheetView>
  </sheetViews>
  <sheetFormatPr defaultColWidth="8.85546875" defaultRowHeight="12.75" x14ac:dyDescent="0.2"/>
  <cols>
    <col min="1" max="1" width="2" style="80" customWidth="1"/>
    <col min="2" max="2" width="16.42578125" style="222" customWidth="1"/>
    <col min="3" max="3" width="48.85546875" style="53" customWidth="1"/>
    <col min="4" max="4" width="17.85546875" style="115" customWidth="1"/>
    <col min="5" max="5" width="1.42578125" style="80" customWidth="1"/>
    <col min="6" max="6" width="9.5703125" style="80" customWidth="1"/>
    <col min="7" max="7" width="21" style="115" customWidth="1"/>
    <col min="8" max="8" width="9.5703125" style="80" customWidth="1"/>
    <col min="9" max="9" width="4.5703125" style="116" customWidth="1"/>
    <col min="10" max="10" width="17.85546875" style="80" hidden="1" customWidth="1"/>
    <col min="11" max="12" width="8.85546875" style="80" hidden="1" customWidth="1"/>
    <col min="13" max="13" width="12" style="80" customWidth="1"/>
    <col min="14" max="14" width="15.85546875" style="80" bestFit="1" customWidth="1"/>
    <col min="15" max="18" width="12" style="80" customWidth="1"/>
    <col min="19" max="22" width="8.85546875" style="80"/>
    <col min="23" max="23" width="12.85546875" style="80" bestFit="1" customWidth="1"/>
    <col min="24" max="16384" width="8.85546875" style="80"/>
  </cols>
  <sheetData>
    <row r="1" spans="2:18" x14ac:dyDescent="0.2">
      <c r="B1" s="2" t="e">
        <f>_Client1</f>
        <v>#NAME?</v>
      </c>
      <c r="C1" s="3"/>
      <c r="D1" s="1"/>
      <c r="E1" s="4"/>
      <c r="K1" s="6"/>
      <c r="L1" s="6" t="str">
        <f>"Contract No. "&amp;ContractNo</f>
        <v>Contract No. ZNB02287/00000/00/MET/INF/24/T</v>
      </c>
    </row>
    <row r="2" spans="2:18" x14ac:dyDescent="0.2">
      <c r="B2" s="81" t="e">
        <f>_Client2</f>
        <v>#NAME?</v>
      </c>
      <c r="C2" s="3"/>
      <c r="D2" s="4"/>
      <c r="E2" s="4"/>
      <c r="F2" s="4"/>
    </row>
    <row r="3" spans="2:18" s="1" customFormat="1" ht="13.5" customHeight="1" x14ac:dyDescent="0.2">
      <c r="B3" s="167"/>
      <c r="C3" s="3"/>
      <c r="D3" s="4"/>
      <c r="E3" s="4"/>
      <c r="F3" s="4"/>
      <c r="G3" s="4"/>
      <c r="H3" s="4"/>
      <c r="I3" s="168"/>
      <c r="K3" s="5"/>
      <c r="L3" s="5"/>
    </row>
    <row r="4" spans="2:18" ht="12.75" customHeight="1" thickBot="1" x14ac:dyDescent="0.25">
      <c r="B4" s="30" t="s">
        <v>423</v>
      </c>
      <c r="C4" s="80"/>
      <c r="D4" s="80"/>
      <c r="G4" s="80"/>
    </row>
    <row r="5" spans="2:18" ht="25.5" customHeight="1" thickBot="1" x14ac:dyDescent="0.25">
      <c r="B5" s="2" t="str">
        <f>ContractDescription</f>
        <v>PROVISION OF ROUTINE AND SAFETY MAINTENANCE ON MIAN ROAD P3/1 (KM 69.00 TO KM 77.96), P3/2 (KM 0.00 TO KM 11.50), P21/2(KM 0.00 TO KM 29.83 IN THE ETHEKWINI METRO - DURBAN REGION</v>
      </c>
      <c r="C5" s="2"/>
      <c r="D5" s="2"/>
      <c r="G5" s="2"/>
      <c r="M5" s="169" t="s">
        <v>424</v>
      </c>
      <c r="N5" s="169" t="s">
        <v>425</v>
      </c>
      <c r="O5" s="169" t="s">
        <v>426</v>
      </c>
      <c r="P5" s="169" t="s">
        <v>427</v>
      </c>
      <c r="Q5" s="169" t="s">
        <v>428</v>
      </c>
      <c r="R5" s="170" t="s">
        <v>429</v>
      </c>
    </row>
    <row r="6" spans="2:18" ht="5.25" customHeight="1" thickBot="1" x14ac:dyDescent="0.25">
      <c r="B6" s="734"/>
      <c r="C6" s="734"/>
      <c r="D6" s="734"/>
      <c r="G6" s="80"/>
      <c r="M6" s="171"/>
      <c r="R6" s="172"/>
    </row>
    <row r="7" spans="2:18" s="12" customFormat="1" ht="27" customHeight="1" thickBot="1" x14ac:dyDescent="0.25">
      <c r="B7" s="173" t="s">
        <v>430</v>
      </c>
      <c r="C7" s="174" t="s">
        <v>1</v>
      </c>
      <c r="D7" s="175" t="s">
        <v>5</v>
      </c>
      <c r="F7" s="176" t="s">
        <v>431</v>
      </c>
      <c r="G7" s="177" t="s">
        <v>432</v>
      </c>
      <c r="H7" s="178" t="s">
        <v>25</v>
      </c>
      <c r="I7" s="179"/>
      <c r="J7" s="169" t="s">
        <v>433</v>
      </c>
      <c r="K7" s="180" t="s">
        <v>434</v>
      </c>
      <c r="L7" s="181" t="s">
        <v>435</v>
      </c>
      <c r="M7" s="169" t="s">
        <v>436</v>
      </c>
      <c r="N7" s="169" t="s">
        <v>437</v>
      </c>
      <c r="O7" s="169" t="s">
        <v>438</v>
      </c>
      <c r="P7" s="169" t="s">
        <v>439</v>
      </c>
      <c r="Q7" s="169" t="s">
        <v>440</v>
      </c>
      <c r="R7" s="170" t="s">
        <v>441</v>
      </c>
    </row>
    <row r="8" spans="2:18" ht="21" customHeight="1" x14ac:dyDescent="0.2">
      <c r="B8" s="182" t="str">
        <f>'C1.2'!B$11</f>
        <v>C1.2</v>
      </c>
      <c r="C8" s="237" t="str">
        <f>'C1.2'!C$11</f>
        <v>GENERAL REQUIREMENTS AND PAYMENT</v>
      </c>
      <c r="D8" s="183">
        <f>'C1.2'!G$1</f>
        <v>300000</v>
      </c>
      <c r="E8" s="182"/>
      <c r="F8" s="184">
        <v>0</v>
      </c>
      <c r="G8" s="185">
        <f t="shared" ref="G8:G39" si="0">D8*F8</f>
        <v>0</v>
      </c>
      <c r="H8" s="186">
        <f>G8/$D$44</f>
        <v>0</v>
      </c>
      <c r="I8" s="187"/>
      <c r="J8" s="188">
        <f>'C1.2'!K$2</f>
        <v>0</v>
      </c>
      <c r="K8" s="189">
        <f>IF(SUM(D8)=0,"",J8/D8)</f>
        <v>0</v>
      </c>
      <c r="L8" s="190">
        <f>J8/[4]Summary!$E$13</f>
        <v>0</v>
      </c>
      <c r="M8" s="191">
        <v>0</v>
      </c>
      <c r="N8" s="191"/>
      <c r="O8" s="191"/>
      <c r="P8" s="191"/>
      <c r="Q8" s="191"/>
      <c r="R8" s="192"/>
    </row>
    <row r="9" spans="2:18" ht="21" customHeight="1" x14ac:dyDescent="0.2">
      <c r="B9" s="255" t="str">
        <f>'C1.3'!B$11</f>
        <v>C1.3</v>
      </c>
      <c r="C9" s="237" t="str">
        <f>'C1.3'!C$11</f>
        <v>CONTRACTOR'S SITE ESTABLISHMENT AND GENERAL OBLIGATIONS</v>
      </c>
      <c r="D9" s="183">
        <f>'C1.3'!G$1</f>
        <v>0</v>
      </c>
      <c r="E9" s="182"/>
      <c r="F9" s="184">
        <v>0</v>
      </c>
      <c r="G9" s="197">
        <f t="shared" si="0"/>
        <v>0</v>
      </c>
      <c r="H9" s="198">
        <f>G9/$D$44</f>
        <v>0</v>
      </c>
      <c r="I9" s="187"/>
      <c r="J9" s="188">
        <f>'C1.5'!K$2</f>
        <v>0</v>
      </c>
      <c r="K9" s="200" t="str">
        <f>IF(SUM(D9)=0,"",J9/D9)</f>
        <v/>
      </c>
      <c r="L9" s="201">
        <f>J9/[4]Summary!$E$13</f>
        <v>0</v>
      </c>
      <c r="M9" s="199"/>
      <c r="N9" s="199"/>
      <c r="O9" s="199"/>
      <c r="P9" s="199"/>
      <c r="Q9" s="199"/>
      <c r="R9" s="202"/>
    </row>
    <row r="10" spans="2:18" ht="21" customHeight="1" x14ac:dyDescent="0.2">
      <c r="B10" s="255" t="str">
        <f>'C1.5'!B$11</f>
        <v>C1.5</v>
      </c>
      <c r="C10" s="237" t="str">
        <f>'C1.5'!C$11</f>
        <v>ACCOMMODATION OF TRAFFIC</v>
      </c>
      <c r="D10" s="183">
        <f>'C1.5'!G$1</f>
        <v>100000</v>
      </c>
      <c r="E10" s="182"/>
      <c r="F10" s="184">
        <v>0</v>
      </c>
      <c r="G10" s="197">
        <f t="shared" si="0"/>
        <v>0</v>
      </c>
      <c r="H10" s="198"/>
      <c r="I10" s="187"/>
      <c r="J10" s="188"/>
      <c r="K10" s="200"/>
      <c r="L10" s="201"/>
      <c r="M10" s="199">
        <v>0</v>
      </c>
      <c r="N10" s="199"/>
      <c r="O10" s="199"/>
      <c r="P10" s="199"/>
      <c r="Q10" s="199"/>
      <c r="R10" s="202"/>
    </row>
    <row r="11" spans="2:18" ht="21" customHeight="1" x14ac:dyDescent="0.2">
      <c r="B11" s="255" t="s">
        <v>69</v>
      </c>
      <c r="C11" s="387" t="s">
        <v>70</v>
      </c>
      <c r="D11" s="183">
        <v>0</v>
      </c>
      <c r="E11" s="182"/>
      <c r="F11" s="184">
        <v>0</v>
      </c>
      <c r="G11" s="197">
        <f>D11*F11</f>
        <v>0</v>
      </c>
      <c r="H11" s="198">
        <f t="shared" ref="H11:H39" si="1">G11/$D$44</f>
        <v>0</v>
      </c>
      <c r="I11" s="187"/>
      <c r="J11" s="188">
        <f>'C1.7'!K$2</f>
        <v>0</v>
      </c>
      <c r="K11" s="200" t="str">
        <f>IF(SUM(D11)=0,"",J11/D11)</f>
        <v/>
      </c>
      <c r="L11" s="201">
        <f>J11/[4]Summary!$E$13</f>
        <v>0</v>
      </c>
      <c r="M11" s="199"/>
      <c r="N11" s="199"/>
      <c r="O11" s="199"/>
      <c r="P11" s="199"/>
      <c r="Q11" s="199"/>
      <c r="R11" s="202"/>
    </row>
    <row r="12" spans="2:18" ht="21" customHeight="1" x14ac:dyDescent="0.2">
      <c r="B12" s="255" t="s">
        <v>1098</v>
      </c>
      <c r="C12" s="387" t="s">
        <v>70</v>
      </c>
      <c r="D12" s="183">
        <f>'C1.6 CPG '!G46</f>
        <v>0</v>
      </c>
      <c r="E12" s="182"/>
      <c r="F12" s="196">
        <v>1</v>
      </c>
      <c r="G12" s="197">
        <f>D12*F12</f>
        <v>0</v>
      </c>
      <c r="H12" s="198">
        <f t="shared" si="1"/>
        <v>0</v>
      </c>
      <c r="I12" s="187"/>
      <c r="J12" s="188"/>
      <c r="K12" s="200"/>
      <c r="L12" s="201"/>
      <c r="M12" s="199">
        <v>3</v>
      </c>
      <c r="N12" s="199"/>
      <c r="O12" s="199"/>
      <c r="P12" s="199"/>
      <c r="Q12" s="199"/>
      <c r="R12" s="202"/>
    </row>
    <row r="13" spans="2:18" ht="21" customHeight="1" x14ac:dyDescent="0.2">
      <c r="B13" s="255" t="str">
        <f>'C1.7'!B$11</f>
        <v>C1.7</v>
      </c>
      <c r="C13" s="237" t="str">
        <f>'C1.7'!C$11</f>
        <v>LOADING AND HAULING</v>
      </c>
      <c r="D13" s="183">
        <f>'C1.7'!G1</f>
        <v>0</v>
      </c>
      <c r="E13" s="182"/>
      <c r="F13" s="196">
        <v>0</v>
      </c>
      <c r="G13" s="197">
        <f t="shared" si="0"/>
        <v>0</v>
      </c>
      <c r="H13" s="198">
        <f t="shared" si="1"/>
        <v>0</v>
      </c>
      <c r="I13" s="187"/>
      <c r="J13" s="188" t="e">
        <f>#REF!</f>
        <v>#REF!</v>
      </c>
      <c r="K13" s="200" t="str">
        <f t="shared" ref="K13:K16" si="2">IF(SUM(D13)=0,"",J13/D13)</f>
        <v/>
      </c>
      <c r="L13" s="201" t="e">
        <f>J13/[4]Summary!$E$13</f>
        <v>#REF!</v>
      </c>
      <c r="M13" s="199"/>
      <c r="N13" s="199"/>
      <c r="O13" s="199"/>
      <c r="P13" s="199"/>
      <c r="Q13" s="199"/>
      <c r="R13" s="202"/>
    </row>
    <row r="14" spans="2:18" ht="28.5" customHeight="1" x14ac:dyDescent="0.2">
      <c r="B14" s="182" t="str">
        <f>'C3.1 '!B$11</f>
        <v>C3.1</v>
      </c>
      <c r="C14" s="237" t="str">
        <f>'C3.1 '!C$11</f>
        <v>DRAINS</v>
      </c>
      <c r="D14" s="183">
        <v>0</v>
      </c>
      <c r="E14" s="182"/>
      <c r="F14" s="196">
        <v>0</v>
      </c>
      <c r="G14" s="197">
        <f t="shared" ref="G14:G15" si="3">D14*F14</f>
        <v>0</v>
      </c>
      <c r="H14" s="198">
        <f t="shared" si="1"/>
        <v>0</v>
      </c>
      <c r="I14" s="187"/>
      <c r="J14" s="188" t="e">
        <f>#REF!</f>
        <v>#REF!</v>
      </c>
      <c r="K14" s="200" t="str">
        <f>IF(SUM(D14)=0,"",J14/D14)</f>
        <v/>
      </c>
      <c r="L14" s="201" t="e">
        <f>J14/[4]Summary!$E$13</f>
        <v>#REF!</v>
      </c>
      <c r="M14" s="199"/>
      <c r="N14" s="199"/>
      <c r="O14" s="199"/>
      <c r="P14" s="199"/>
      <c r="Q14" s="199"/>
      <c r="R14" s="202"/>
    </row>
    <row r="15" spans="2:18" ht="28.5" customHeight="1" x14ac:dyDescent="0.2">
      <c r="B15" s="182" t="s">
        <v>1097</v>
      </c>
      <c r="C15" s="237" t="s">
        <v>131</v>
      </c>
      <c r="D15" s="183">
        <f>'C3.1  CPG'!G129</f>
        <v>0</v>
      </c>
      <c r="E15" s="182"/>
      <c r="F15" s="196">
        <v>1</v>
      </c>
      <c r="G15" s="197">
        <f t="shared" si="3"/>
        <v>0</v>
      </c>
      <c r="H15" s="198">
        <f t="shared" si="1"/>
        <v>0</v>
      </c>
      <c r="I15" s="187"/>
      <c r="J15" s="188"/>
      <c r="K15" s="200"/>
      <c r="L15" s="201"/>
      <c r="M15" s="199"/>
      <c r="N15" s="199">
        <v>1</v>
      </c>
      <c r="O15" s="199"/>
      <c r="P15" s="199"/>
      <c r="Q15" s="199"/>
      <c r="R15" s="202"/>
    </row>
    <row r="16" spans="2:18" ht="21" customHeight="1" x14ac:dyDescent="0.2">
      <c r="B16" s="182" t="s">
        <v>123</v>
      </c>
      <c r="C16" s="237" t="str">
        <f>'A1'!C21</f>
        <v>CONCRETE KERBING AND CHANNELING, ASPHALT BERMS, CHUTES, DOWNPIPES, AS WELL AS CONCRETE, STONE PITCHED AND GABION LININGS FOR OPEN DRAINS</v>
      </c>
      <c r="D16" s="183"/>
      <c r="E16" s="182"/>
      <c r="F16" s="196">
        <v>0</v>
      </c>
      <c r="G16" s="197">
        <f t="shared" si="0"/>
        <v>0</v>
      </c>
      <c r="H16" s="198">
        <f t="shared" si="1"/>
        <v>0</v>
      </c>
      <c r="I16" s="187"/>
      <c r="J16" s="188" t="e">
        <f>#REF!</f>
        <v>#REF!</v>
      </c>
      <c r="K16" s="200" t="str">
        <f t="shared" si="2"/>
        <v/>
      </c>
      <c r="L16" s="201" t="e">
        <f>J16/[4]Summary!$E$13</f>
        <v>#REF!</v>
      </c>
      <c r="M16" s="199"/>
      <c r="N16" s="199"/>
      <c r="O16" s="199"/>
      <c r="P16" s="199"/>
      <c r="Q16" s="199"/>
      <c r="R16" s="202"/>
    </row>
    <row r="17" spans="2:18" ht="21" customHeight="1" x14ac:dyDescent="0.2">
      <c r="B17" s="182" t="s">
        <v>1096</v>
      </c>
      <c r="C17" s="237" t="s">
        <v>122</v>
      </c>
      <c r="D17" s="183">
        <f>'C3.3 CPG'!G131</f>
        <v>0</v>
      </c>
      <c r="E17" s="182"/>
      <c r="F17" s="196">
        <v>1</v>
      </c>
      <c r="G17" s="197">
        <f t="shared" si="0"/>
        <v>0</v>
      </c>
      <c r="H17" s="198">
        <f t="shared" si="1"/>
        <v>0</v>
      </c>
      <c r="I17" s="187"/>
      <c r="J17" s="188"/>
      <c r="K17" s="200"/>
      <c r="L17" s="201"/>
      <c r="M17" s="199"/>
      <c r="N17" s="199">
        <v>2</v>
      </c>
      <c r="O17" s="199"/>
      <c r="P17" s="199"/>
      <c r="Q17" s="199"/>
      <c r="R17" s="202"/>
    </row>
    <row r="18" spans="2:18" ht="21" customHeight="1" x14ac:dyDescent="0.2">
      <c r="B18" s="255" t="s">
        <v>1065</v>
      </c>
      <c r="C18" s="237" t="str">
        <f>'A1'!C22</f>
        <v>EXISTING ROAD MATERIALS</v>
      </c>
      <c r="D18" s="183">
        <f>'A1'!E22</f>
        <v>10000</v>
      </c>
      <c r="E18" s="182"/>
      <c r="F18" s="196">
        <v>0</v>
      </c>
      <c r="G18" s="197">
        <f t="shared" si="0"/>
        <v>0</v>
      </c>
      <c r="H18" s="198">
        <f t="shared" si="1"/>
        <v>0</v>
      </c>
      <c r="I18" s="187"/>
      <c r="J18" s="188"/>
      <c r="K18" s="200"/>
      <c r="L18" s="201"/>
      <c r="M18" s="199"/>
      <c r="N18" s="199"/>
      <c r="O18" s="199"/>
      <c r="P18" s="199"/>
      <c r="Q18" s="199"/>
      <c r="R18" s="202"/>
    </row>
    <row r="19" spans="2:18" ht="21" customHeight="1" x14ac:dyDescent="0.2">
      <c r="B19" s="255" t="s">
        <v>180</v>
      </c>
      <c r="C19" s="237" t="str">
        <f>'A1'!C23</f>
        <v>COMMERCIAL MATERIALS</v>
      </c>
      <c r="D19" s="183">
        <f>'A1'!E23</f>
        <v>0</v>
      </c>
      <c r="E19" s="182"/>
      <c r="F19" s="196">
        <v>0</v>
      </c>
      <c r="G19" s="197">
        <f t="shared" si="0"/>
        <v>0</v>
      </c>
      <c r="H19" s="198">
        <f t="shared" si="1"/>
        <v>0</v>
      </c>
      <c r="I19" s="187"/>
      <c r="J19" s="188"/>
      <c r="K19" s="200"/>
      <c r="L19" s="201"/>
      <c r="M19" s="199"/>
      <c r="N19" s="199"/>
      <c r="O19" s="199"/>
      <c r="P19" s="199"/>
      <c r="Q19" s="199"/>
      <c r="R19" s="202"/>
    </row>
    <row r="20" spans="2:18" ht="21" customHeight="1" x14ac:dyDescent="0.2">
      <c r="B20" s="255" t="s">
        <v>953</v>
      </c>
      <c r="C20" s="237" t="str">
        <f>'A1'!C24</f>
        <v>FILL</v>
      </c>
      <c r="D20" s="183">
        <f>'A1'!E24</f>
        <v>0</v>
      </c>
      <c r="E20" s="182"/>
      <c r="F20" s="196">
        <v>0</v>
      </c>
      <c r="G20" s="197">
        <f t="shared" si="0"/>
        <v>0</v>
      </c>
      <c r="H20" s="198">
        <f t="shared" si="1"/>
        <v>0</v>
      </c>
      <c r="I20" s="187"/>
      <c r="J20" s="188"/>
      <c r="K20" s="200"/>
      <c r="L20" s="201"/>
      <c r="M20" s="199"/>
      <c r="N20" s="199"/>
      <c r="O20" s="199"/>
      <c r="P20" s="199"/>
      <c r="Q20" s="199"/>
      <c r="R20" s="202"/>
    </row>
    <row r="21" spans="2:18" ht="21" customHeight="1" x14ac:dyDescent="0.2">
      <c r="B21" s="255" t="s">
        <v>961</v>
      </c>
      <c r="C21" s="237" t="str">
        <f>'A1'!C25</f>
        <v>PRIME COAT</v>
      </c>
      <c r="D21" s="183">
        <f>'A1'!E25</f>
        <v>0</v>
      </c>
      <c r="E21" s="182"/>
      <c r="F21" s="196">
        <v>0</v>
      </c>
      <c r="G21" s="197">
        <f t="shared" si="0"/>
        <v>0</v>
      </c>
      <c r="H21" s="198">
        <f t="shared" si="1"/>
        <v>0</v>
      </c>
      <c r="I21" s="187"/>
      <c r="J21" s="188"/>
      <c r="K21" s="200"/>
      <c r="L21" s="201"/>
      <c r="M21" s="199"/>
      <c r="N21" s="199">
        <v>0</v>
      </c>
      <c r="O21" s="199"/>
      <c r="P21" s="199"/>
      <c r="Q21" s="199"/>
      <c r="R21" s="202"/>
    </row>
    <row r="22" spans="2:18" ht="21" customHeight="1" x14ac:dyDescent="0.2">
      <c r="B22" s="255" t="str">
        <f>'C8.5'!B11</f>
        <v>C8.5</v>
      </c>
      <c r="C22" s="237" t="str">
        <f>'C8.5'!C11</f>
        <v>STANDARD CRACK SEALING</v>
      </c>
      <c r="D22" s="183">
        <f>'A1'!E26</f>
        <v>0</v>
      </c>
      <c r="E22" s="182"/>
      <c r="F22" s="196">
        <v>0</v>
      </c>
      <c r="G22" s="197">
        <f t="shared" si="0"/>
        <v>0</v>
      </c>
      <c r="H22" s="198">
        <f t="shared" si="1"/>
        <v>0</v>
      </c>
      <c r="I22" s="187"/>
      <c r="J22" s="188"/>
      <c r="K22" s="200"/>
      <c r="L22" s="201"/>
      <c r="M22" s="199"/>
      <c r="N22" s="199"/>
      <c r="O22" s="199"/>
      <c r="P22" s="199"/>
      <c r="Q22" s="199"/>
      <c r="R22" s="202"/>
    </row>
    <row r="23" spans="2:18" ht="21" customHeight="1" x14ac:dyDescent="0.2">
      <c r="B23" s="182" t="str">
        <f>'C8.8'!B$11</f>
        <v>C8.8</v>
      </c>
      <c r="C23" s="237" t="str">
        <f>'C8.8'!C$11</f>
        <v>PATCHING AND EDGE BREAK REPAIR</v>
      </c>
      <c r="D23" s="183">
        <f>'A1'!E27</f>
        <v>0</v>
      </c>
      <c r="E23" s="182"/>
      <c r="F23" s="196">
        <v>0</v>
      </c>
      <c r="G23" s="197">
        <f t="shared" si="0"/>
        <v>0</v>
      </c>
      <c r="H23" s="198">
        <f t="shared" si="1"/>
        <v>0</v>
      </c>
      <c r="I23" s="187"/>
      <c r="J23" s="188" t="e">
        <f>#REF!</f>
        <v>#REF!</v>
      </c>
      <c r="K23" s="200" t="str">
        <f t="shared" ref="K23:K40" si="4">IF(SUM(D23)=0,"",J23/D23)</f>
        <v/>
      </c>
      <c r="L23" s="201" t="e">
        <f>J23/[4]Summary!$E$13</f>
        <v>#REF!</v>
      </c>
      <c r="M23" s="199"/>
      <c r="N23" s="199"/>
      <c r="O23" s="199"/>
      <c r="P23" s="199"/>
      <c r="Q23" s="199"/>
      <c r="R23" s="202"/>
    </row>
    <row r="24" spans="2:18" ht="21" customHeight="1" x14ac:dyDescent="0.2">
      <c r="B24" s="255" t="str">
        <f>'C9.1'!B11</f>
        <v>C9.1</v>
      </c>
      <c r="C24" s="237" t="str">
        <f>'C9.1'!C11</f>
        <v>ASPHALT LAYERS</v>
      </c>
      <c r="D24" s="183">
        <f>'A1'!E28</f>
        <v>0</v>
      </c>
      <c r="E24" s="182"/>
      <c r="F24" s="196">
        <v>0</v>
      </c>
      <c r="G24" s="197">
        <f t="shared" si="0"/>
        <v>0</v>
      </c>
      <c r="H24" s="198">
        <f t="shared" si="1"/>
        <v>0</v>
      </c>
      <c r="I24" s="187"/>
      <c r="J24" s="188"/>
      <c r="K24" s="200"/>
      <c r="L24" s="201"/>
      <c r="M24" s="199"/>
      <c r="N24" s="199"/>
      <c r="O24" s="199"/>
      <c r="P24" s="199"/>
      <c r="Q24" s="199"/>
      <c r="R24" s="202"/>
    </row>
    <row r="25" spans="2:18" ht="21" customHeight="1" x14ac:dyDescent="0.2">
      <c r="B25" s="255" t="s">
        <v>1159</v>
      </c>
      <c r="C25" s="655" t="s">
        <v>1160</v>
      </c>
      <c r="D25" s="183">
        <f>'C10.1'!G65</f>
        <v>0</v>
      </c>
      <c r="E25" s="182"/>
      <c r="F25" s="196">
        <v>0</v>
      </c>
      <c r="G25" s="197">
        <f t="shared" si="0"/>
        <v>0</v>
      </c>
      <c r="H25" s="198">
        <f t="shared" si="1"/>
        <v>0</v>
      </c>
      <c r="I25" s="187"/>
      <c r="J25" s="188"/>
      <c r="K25" s="200"/>
      <c r="L25" s="201"/>
      <c r="M25" s="199"/>
      <c r="N25" s="199"/>
      <c r="O25" s="199"/>
      <c r="P25" s="199"/>
      <c r="Q25" s="199"/>
      <c r="R25" s="202"/>
    </row>
    <row r="26" spans="2:18" ht="21" customHeight="1" x14ac:dyDescent="0.2">
      <c r="B26" s="357" t="str">
        <f>'C11.1'!B$11</f>
        <v>C11.1</v>
      </c>
      <c r="C26" s="194" t="str">
        <f>'C11.1'!C$11</f>
        <v>PITCHING, STONEWORK, CAST IN SITU CONCRETE FOR PROTECTION AGAINST EROSION</v>
      </c>
      <c r="D26" s="183">
        <f>'A1'!E30</f>
        <v>0</v>
      </c>
      <c r="E26" s="182"/>
      <c r="F26" s="196">
        <v>0</v>
      </c>
      <c r="G26" s="197">
        <f t="shared" si="0"/>
        <v>0</v>
      </c>
      <c r="H26" s="198">
        <f t="shared" si="1"/>
        <v>0</v>
      </c>
      <c r="I26" s="187"/>
      <c r="J26" s="348" t="e">
        <f>'C11.2'!K$2</f>
        <v>#NAME?</v>
      </c>
      <c r="K26" s="200" t="str">
        <f t="shared" si="4"/>
        <v/>
      </c>
      <c r="L26" s="201" t="e">
        <f>J26/[4]Summary!$E$13</f>
        <v>#NAME?</v>
      </c>
      <c r="M26" s="199">
        <v>0</v>
      </c>
      <c r="N26" s="199"/>
      <c r="O26" s="199"/>
      <c r="P26" s="199"/>
      <c r="Q26" s="199"/>
      <c r="R26" s="202"/>
    </row>
    <row r="27" spans="2:18" ht="21" customHeight="1" x14ac:dyDescent="0.2">
      <c r="B27" s="182" t="str">
        <f>'C11.2'!B$11</f>
        <v>C11.2</v>
      </c>
      <c r="C27" s="237" t="str">
        <f>'C11.2'!C$11</f>
        <v>NON-STRUCTURAL GABIONS</v>
      </c>
      <c r="D27" s="183">
        <f>'A1'!E31</f>
        <v>0</v>
      </c>
      <c r="E27" s="182"/>
      <c r="F27" s="196">
        <v>0</v>
      </c>
      <c r="G27" s="197">
        <f t="shared" si="0"/>
        <v>0</v>
      </c>
      <c r="H27" s="198">
        <f t="shared" si="1"/>
        <v>0</v>
      </c>
      <c r="I27" s="187"/>
      <c r="J27" s="188" t="e">
        <f>'C11.4'!K$2</f>
        <v>#NAME?</v>
      </c>
      <c r="K27" s="200" t="str">
        <f t="shared" si="4"/>
        <v/>
      </c>
      <c r="L27" s="201" t="e">
        <f>J27/[4]Summary!$E$13</f>
        <v>#NAME?</v>
      </c>
      <c r="M27" s="199">
        <v>0</v>
      </c>
      <c r="N27" s="199"/>
      <c r="O27" s="199"/>
      <c r="P27" s="199"/>
      <c r="Q27" s="199"/>
      <c r="R27" s="202"/>
    </row>
    <row r="28" spans="2:18" ht="21" customHeight="1" x14ac:dyDescent="0.2">
      <c r="B28" s="182" t="s">
        <v>1085</v>
      </c>
      <c r="C28" s="237" t="str">
        <f>'C11.2'!C$11</f>
        <v>NON-STRUCTURAL GABIONS</v>
      </c>
      <c r="D28" s="183">
        <f>'C11.2 CPG'!G60</f>
        <v>0</v>
      </c>
      <c r="E28" s="182"/>
      <c r="F28" s="196">
        <v>1</v>
      </c>
      <c r="G28" s="197">
        <f t="shared" si="0"/>
        <v>0</v>
      </c>
      <c r="H28" s="198">
        <f t="shared" si="1"/>
        <v>0</v>
      </c>
      <c r="I28" s="187"/>
      <c r="J28" s="188"/>
      <c r="K28" s="200"/>
      <c r="L28" s="201"/>
      <c r="M28" s="199">
        <v>1</v>
      </c>
      <c r="N28" s="199">
        <v>1</v>
      </c>
      <c r="O28" s="199"/>
      <c r="P28" s="199"/>
      <c r="Q28" s="199"/>
      <c r="R28" s="202"/>
    </row>
    <row r="29" spans="2:18" ht="21" customHeight="1" x14ac:dyDescent="0.2">
      <c r="B29" s="182" t="s">
        <v>1005</v>
      </c>
      <c r="C29" s="237" t="str">
        <f>'A1'!C32</f>
        <v>GUIDE BLOCKS AND KILOMETRE MARKERS</v>
      </c>
      <c r="D29" s="183">
        <f>'A1'!E32</f>
        <v>0</v>
      </c>
      <c r="E29" s="182"/>
      <c r="F29" s="196">
        <v>0</v>
      </c>
      <c r="G29" s="197">
        <f t="shared" si="0"/>
        <v>0</v>
      </c>
      <c r="H29" s="198">
        <f t="shared" si="1"/>
        <v>0</v>
      </c>
      <c r="I29" s="187"/>
      <c r="J29" s="188" t="e">
        <f>#REF!</f>
        <v>#REF!</v>
      </c>
      <c r="K29" s="200" t="str">
        <f>IF(SUM(D30)=0,"",J29/D30)</f>
        <v/>
      </c>
      <c r="L29" s="201" t="e">
        <f>J29/[4]Summary!$E$13</f>
        <v>#REF!</v>
      </c>
      <c r="M29" s="199"/>
      <c r="N29" s="199">
        <v>0</v>
      </c>
      <c r="O29" s="199"/>
      <c r="P29" s="199"/>
      <c r="Q29" s="199"/>
      <c r="R29" s="202"/>
    </row>
    <row r="30" spans="2:18" ht="21" customHeight="1" x14ac:dyDescent="0.2">
      <c r="B30" s="182" t="str">
        <f>'C11.4'!B$11</f>
        <v>C11.4</v>
      </c>
      <c r="C30" s="237" t="str">
        <f>'C11.4'!C$11</f>
        <v>ROAD RESTRAINT SYSTEMS</v>
      </c>
      <c r="D30" s="183">
        <f>'C11.4'!G$1</f>
        <v>0</v>
      </c>
      <c r="E30" s="182"/>
      <c r="F30" s="196">
        <v>0</v>
      </c>
      <c r="G30" s="197">
        <f t="shared" si="0"/>
        <v>0</v>
      </c>
      <c r="H30" s="198">
        <f t="shared" si="1"/>
        <v>0</v>
      </c>
      <c r="I30" s="187"/>
      <c r="J30" s="188" t="e">
        <f>'C11.6'!K$2</f>
        <v>#NAME?</v>
      </c>
      <c r="K30" s="200" t="e">
        <f>IF(SUM(#REF!)=0,"",J30/#REF!)</f>
        <v>#REF!</v>
      </c>
      <c r="L30" s="201" t="e">
        <f>J30/[4]Summary!$E$13</f>
        <v>#NAME?</v>
      </c>
      <c r="M30" s="199">
        <v>0</v>
      </c>
      <c r="N30" s="199"/>
      <c r="O30" s="199"/>
      <c r="P30" s="199"/>
      <c r="Q30" s="199"/>
      <c r="R30" s="202"/>
    </row>
    <row r="31" spans="2:18" ht="21" customHeight="1" x14ac:dyDescent="0.2">
      <c r="B31" s="182" t="s">
        <v>1086</v>
      </c>
      <c r="C31" s="237" t="str">
        <f>'C11.4'!C$11</f>
        <v>ROAD RESTRAINT SYSTEMS</v>
      </c>
      <c r="D31" s="183">
        <f>'C11.4 CPG'!G117</f>
        <v>0</v>
      </c>
      <c r="E31" s="182"/>
      <c r="F31" s="196">
        <v>1</v>
      </c>
      <c r="G31" s="197">
        <f t="shared" si="0"/>
        <v>0</v>
      </c>
      <c r="H31" s="198">
        <f t="shared" si="1"/>
        <v>0</v>
      </c>
      <c r="I31" s="187"/>
      <c r="J31" s="188"/>
      <c r="K31" s="200"/>
      <c r="L31" s="201"/>
      <c r="M31" s="199"/>
      <c r="N31" s="199"/>
      <c r="O31" s="199">
        <v>2</v>
      </c>
      <c r="P31" s="199"/>
      <c r="Q31" s="199"/>
      <c r="R31" s="202"/>
    </row>
    <row r="32" spans="2:18" ht="21" customHeight="1" x14ac:dyDescent="0.2">
      <c r="B32" s="182" t="str">
        <f>'C11.6'!B$11</f>
        <v>C11.6</v>
      </c>
      <c r="C32" s="237" t="str">
        <f>'C11.6'!C$11</f>
        <v>ROAD SIGNS</v>
      </c>
      <c r="D32" s="183">
        <f>'C11.6'!G$1</f>
        <v>0</v>
      </c>
      <c r="E32" s="182"/>
      <c r="F32" s="196">
        <v>0</v>
      </c>
      <c r="G32" s="197">
        <f t="shared" si="0"/>
        <v>0</v>
      </c>
      <c r="H32" s="198">
        <f t="shared" si="1"/>
        <v>0</v>
      </c>
      <c r="I32" s="187"/>
      <c r="J32" s="188">
        <f>'C11.7'!K$2</f>
        <v>108000</v>
      </c>
      <c r="K32" s="200" t="str">
        <f t="shared" si="4"/>
        <v/>
      </c>
      <c r="L32" s="201">
        <f>J32/[4]Summary!$E$13</f>
        <v>1.1643634353840791E-3</v>
      </c>
      <c r="M32" s="199"/>
      <c r="N32" s="199"/>
      <c r="O32" s="199">
        <v>0</v>
      </c>
      <c r="P32" s="199"/>
      <c r="Q32" s="199"/>
      <c r="R32" s="202"/>
    </row>
    <row r="33" spans="2:23" ht="21" customHeight="1" x14ac:dyDescent="0.2">
      <c r="B33" s="182" t="str">
        <f>'C11.7'!B$11</f>
        <v>C11.7</v>
      </c>
      <c r="C33" s="237" t="str">
        <f>'C11.7'!C$11</f>
        <v>ROAD MARKINGS AND ROAD STUDS</v>
      </c>
      <c r="D33" s="183">
        <f>'C11.7'!G$1</f>
        <v>0</v>
      </c>
      <c r="E33" s="182"/>
      <c r="F33" s="196">
        <v>0</v>
      </c>
      <c r="G33" s="197">
        <f t="shared" si="0"/>
        <v>0</v>
      </c>
      <c r="H33" s="198">
        <f t="shared" si="1"/>
        <v>0</v>
      </c>
      <c r="I33" s="187"/>
      <c r="J33" s="188">
        <f>'C13.8'!K$2</f>
        <v>0</v>
      </c>
      <c r="K33" s="200" t="str">
        <f t="shared" si="4"/>
        <v/>
      </c>
      <c r="L33" s="201">
        <f>J33/[4]Summary!$E$13</f>
        <v>0</v>
      </c>
      <c r="M33" s="199"/>
      <c r="N33" s="199"/>
      <c r="O33" s="199"/>
      <c r="P33" s="199">
        <v>0</v>
      </c>
      <c r="Q33" s="199"/>
      <c r="R33" s="202"/>
    </row>
    <row r="34" spans="2:23" ht="21" customHeight="1" x14ac:dyDescent="0.2">
      <c r="B34" s="182" t="s">
        <v>1088</v>
      </c>
      <c r="C34" s="237" t="str">
        <f>'C11.7'!C$11</f>
        <v>ROAD MARKINGS AND ROAD STUDS</v>
      </c>
      <c r="D34" s="183">
        <f>'C11.7 CPG'!G94</f>
        <v>0</v>
      </c>
      <c r="E34" s="182"/>
      <c r="F34" s="196">
        <v>1</v>
      </c>
      <c r="G34" s="197">
        <f t="shared" ref="G34" si="5">D34*F34</f>
        <v>0</v>
      </c>
      <c r="H34" s="198">
        <f t="shared" si="1"/>
        <v>0</v>
      </c>
      <c r="I34" s="187"/>
      <c r="J34" s="188">
        <f>'C13.8'!K$2</f>
        <v>0</v>
      </c>
      <c r="K34" s="200" t="str">
        <f t="shared" ref="K34" si="6">IF(SUM(D34)=0,"",J34/D34)</f>
        <v/>
      </c>
      <c r="L34" s="201">
        <f>J34/[4]Summary!$E$13</f>
        <v>0</v>
      </c>
      <c r="M34" s="199"/>
      <c r="N34" s="199"/>
      <c r="O34" s="199">
        <v>2</v>
      </c>
      <c r="P34" s="199">
        <v>0</v>
      </c>
      <c r="Q34" s="199"/>
      <c r="R34" s="202"/>
    </row>
    <row r="35" spans="2:23" ht="21" customHeight="1" x14ac:dyDescent="0.2">
      <c r="B35" s="255" t="s">
        <v>1087</v>
      </c>
      <c r="C35" s="237" t="s">
        <v>302</v>
      </c>
      <c r="D35" s="183">
        <f>'A1'!E36</f>
        <v>0</v>
      </c>
      <c r="E35" s="182"/>
      <c r="F35" s="196">
        <v>0</v>
      </c>
      <c r="G35" s="197">
        <f t="shared" si="0"/>
        <v>0</v>
      </c>
      <c r="H35" s="198">
        <f t="shared" si="1"/>
        <v>0</v>
      </c>
      <c r="I35" s="187"/>
      <c r="J35" s="188"/>
      <c r="K35" s="200"/>
      <c r="L35" s="201"/>
      <c r="M35" s="199"/>
      <c r="N35" s="199"/>
      <c r="O35" s="199"/>
      <c r="P35" s="199"/>
      <c r="Q35" s="199"/>
      <c r="R35" s="202"/>
    </row>
    <row r="36" spans="2:23" ht="21" customHeight="1" x14ac:dyDescent="0.2">
      <c r="B36" s="182" t="str">
        <f>'C13.8'!B$11</f>
        <v>C13.8</v>
      </c>
      <c r="C36" s="237" t="str">
        <f>'C13.8'!C$11</f>
        <v>ANCILLARY STRUCTURAL ELEMENTS</v>
      </c>
      <c r="D36" s="183">
        <f>'A1'!E37</f>
        <v>0</v>
      </c>
      <c r="E36" s="182"/>
      <c r="F36" s="196">
        <v>0</v>
      </c>
      <c r="G36" s="197">
        <f t="shared" si="0"/>
        <v>0</v>
      </c>
      <c r="H36" s="198">
        <f t="shared" si="1"/>
        <v>0</v>
      </c>
      <c r="I36" s="187"/>
      <c r="J36" s="188" t="e">
        <f>#REF!</f>
        <v>#REF!</v>
      </c>
      <c r="K36" s="200" t="str">
        <f t="shared" si="4"/>
        <v/>
      </c>
      <c r="L36" s="201" t="e">
        <f>J36/[4]Summary!$E$13</f>
        <v>#REF!</v>
      </c>
      <c r="M36" s="199"/>
      <c r="N36" s="199"/>
      <c r="O36" s="199"/>
      <c r="P36" s="199"/>
      <c r="Q36" s="199"/>
      <c r="R36" s="202"/>
      <c r="S36" s="752"/>
    </row>
    <row r="37" spans="2:23" ht="21" customHeight="1" x14ac:dyDescent="0.2">
      <c r="B37" s="182" t="s">
        <v>1151</v>
      </c>
      <c r="C37" s="237" t="s">
        <v>1152</v>
      </c>
      <c r="D37" s="183">
        <f>'C14'!G50</f>
        <v>0</v>
      </c>
      <c r="E37" s="182"/>
      <c r="F37" s="196">
        <v>0</v>
      </c>
      <c r="G37" s="197">
        <f t="shared" si="0"/>
        <v>0</v>
      </c>
      <c r="H37" s="198">
        <f t="shared" si="1"/>
        <v>0</v>
      </c>
      <c r="I37" s="187"/>
      <c r="J37" s="188"/>
      <c r="K37" s="200"/>
      <c r="L37" s="201"/>
      <c r="M37" s="199"/>
      <c r="N37" s="199"/>
      <c r="O37" s="199"/>
      <c r="P37" s="199"/>
      <c r="Q37" s="199"/>
      <c r="R37" s="202"/>
      <c r="S37" s="752"/>
    </row>
    <row r="38" spans="2:23" ht="21" customHeight="1" x14ac:dyDescent="0.2">
      <c r="B38" s="182" t="s">
        <v>1056</v>
      </c>
      <c r="C38" s="237" t="str">
        <f>'A1'!C39</f>
        <v>TESTING MATERIALS AND JUDGEMENT OF WORKMANSHIP</v>
      </c>
      <c r="D38" s="183">
        <f>'A1'!E39</f>
        <v>60000</v>
      </c>
      <c r="E38" s="182"/>
      <c r="F38" s="196">
        <v>0</v>
      </c>
      <c r="G38" s="197">
        <f t="shared" si="0"/>
        <v>0</v>
      </c>
      <c r="H38" s="198">
        <f t="shared" si="1"/>
        <v>0</v>
      </c>
      <c r="I38" s="187"/>
      <c r="J38" s="188"/>
      <c r="K38" s="200"/>
      <c r="L38" s="201"/>
      <c r="M38" s="199"/>
      <c r="N38" s="199"/>
      <c r="O38" s="199"/>
      <c r="P38" s="199"/>
      <c r="Q38" s="199"/>
      <c r="R38" s="202"/>
      <c r="S38" s="752"/>
    </row>
    <row r="39" spans="2:23" ht="21" customHeight="1" x14ac:dyDescent="0.2">
      <c r="B39" s="255" t="str">
        <f>'PSC15.1'!B12</f>
        <v>P.S.C 15.1</v>
      </c>
      <c r="C39" s="237" t="str">
        <f>'PSC15.1'!C12</f>
        <v xml:space="preserve">CHEMICAL CONTROL OF UNDESIRABLE VEGETATION </v>
      </c>
      <c r="D39" s="183">
        <f>'A1'!E40</f>
        <v>0</v>
      </c>
      <c r="E39" s="182"/>
      <c r="F39" s="196">
        <v>0</v>
      </c>
      <c r="G39" s="197">
        <f t="shared" si="0"/>
        <v>0</v>
      </c>
      <c r="H39" s="198">
        <f t="shared" si="1"/>
        <v>0</v>
      </c>
      <c r="I39" s="187"/>
      <c r="J39" s="188"/>
      <c r="K39" s="200" t="str">
        <f t="shared" si="4"/>
        <v/>
      </c>
      <c r="L39" s="201">
        <f>J39/[4]Summary!$E$13</f>
        <v>0</v>
      </c>
      <c r="M39" s="199"/>
      <c r="N39" s="199"/>
      <c r="O39" s="199"/>
      <c r="P39" s="199">
        <v>0</v>
      </c>
      <c r="Q39" s="199"/>
      <c r="R39" s="202"/>
      <c r="S39" s="752"/>
    </row>
    <row r="40" spans="2:23" ht="21" customHeight="1" thickBot="1" x14ac:dyDescent="0.25">
      <c r="B40" s="360"/>
      <c r="C40" s="361"/>
      <c r="D40" s="362"/>
      <c r="E40" s="363"/>
      <c r="F40" s="364"/>
      <c r="G40" s="365"/>
      <c r="H40" s="366"/>
      <c r="I40" s="187"/>
      <c r="J40" s="188" t="e">
        <f>#REF!</f>
        <v>#REF!</v>
      </c>
      <c r="K40" s="200" t="str">
        <f t="shared" si="4"/>
        <v/>
      </c>
      <c r="L40" s="201" t="e">
        <f>J40/[4]Summary!$E$13</f>
        <v>#REF!</v>
      </c>
      <c r="M40" s="199"/>
      <c r="N40" s="199"/>
      <c r="O40" s="199"/>
      <c r="P40" s="199"/>
      <c r="Q40" s="199"/>
      <c r="R40" s="202"/>
      <c r="S40" s="222"/>
    </row>
    <row r="41" spans="2:23" ht="9" customHeight="1" thickBot="1" x14ac:dyDescent="0.25">
      <c r="B41" s="357"/>
      <c r="C41" s="358"/>
      <c r="D41" s="183"/>
      <c r="F41" s="359"/>
      <c r="G41" s="185"/>
      <c r="H41" s="186"/>
      <c r="I41" s="187"/>
      <c r="J41" s="199"/>
      <c r="K41" s="200" t="str">
        <f>IF(SUM(D41)=0,"",J41/D41)</f>
        <v/>
      </c>
      <c r="L41" s="201">
        <f>J41/[4]Summary!$E$13</f>
        <v>0</v>
      </c>
      <c r="M41" s="367"/>
      <c r="N41" s="367"/>
      <c r="O41" s="367"/>
      <c r="P41" s="367"/>
      <c r="Q41" s="367"/>
      <c r="R41" s="368"/>
    </row>
    <row r="42" spans="2:23" ht="21" customHeight="1" x14ac:dyDescent="0.2">
      <c r="B42" s="753" t="s">
        <v>442</v>
      </c>
      <c r="C42" s="754"/>
      <c r="D42" s="195">
        <f>ROUND(SUM(D8:D40),2)</f>
        <v>470000</v>
      </c>
      <c r="F42" s="205"/>
      <c r="G42" s="197">
        <f>ROUND(SUM(G8:G41),2)</f>
        <v>0</v>
      </c>
      <c r="H42" s="198">
        <f>G42/$D$44</f>
        <v>0</v>
      </c>
      <c r="I42" s="187"/>
      <c r="J42" s="199" t="e">
        <f>ROUND(SUM(J8:J41),2)</f>
        <v>#REF!</v>
      </c>
      <c r="K42" s="200" t="e">
        <f>IF(SUM(D42)=0,"",J42/D42)</f>
        <v>#REF!</v>
      </c>
      <c r="L42" s="201" t="e">
        <f>J42/[4]Summary!$E$13</f>
        <v>#REF!</v>
      </c>
      <c r="M42" s="188">
        <f t="shared" ref="M42:R42" si="7">SUM(M8:M39)</f>
        <v>4</v>
      </c>
      <c r="N42" s="188">
        <f t="shared" si="7"/>
        <v>4</v>
      </c>
      <c r="O42" s="188">
        <f t="shared" si="7"/>
        <v>4</v>
      </c>
      <c r="P42" s="188">
        <f t="shared" si="7"/>
        <v>0</v>
      </c>
      <c r="Q42" s="188">
        <f t="shared" si="7"/>
        <v>0</v>
      </c>
      <c r="R42" s="206">
        <f t="shared" si="7"/>
        <v>0</v>
      </c>
    </row>
    <row r="43" spans="2:23" ht="21" customHeight="1" thickBot="1" x14ac:dyDescent="0.25">
      <c r="B43" s="755" t="s">
        <v>445</v>
      </c>
      <c r="C43" s="756"/>
      <c r="D43" s="207">
        <f>'E1'!E14</f>
        <v>605000</v>
      </c>
      <c r="F43" s="208"/>
      <c r="G43" s="209">
        <f>D43*F43</f>
        <v>0</v>
      </c>
      <c r="H43" s="210">
        <f>G43/$D$44</f>
        <v>0</v>
      </c>
      <c r="I43" s="187"/>
      <c r="J43" s="203">
        <f>ROUND('[4]Sch F'!K$1,2)</f>
        <v>0</v>
      </c>
      <c r="K43" s="211">
        <f>IF(SUM(D43)=0,"",J43/D43)</f>
        <v>0</v>
      </c>
      <c r="L43" s="212">
        <f>J43/[4]Summary!$E$13</f>
        <v>0</v>
      </c>
      <c r="M43" s="203"/>
      <c r="N43" s="203"/>
      <c r="O43" s="203"/>
      <c r="P43" s="203"/>
      <c r="Q43" s="203"/>
      <c r="R43" s="213"/>
      <c r="W43" s="351">
        <f>SUM(D9:D40)</f>
        <v>170000</v>
      </c>
    </row>
    <row r="44" spans="2:23" ht="21" customHeight="1" thickBot="1" x14ac:dyDescent="0.25">
      <c r="B44" s="747" t="s">
        <v>446</v>
      </c>
      <c r="C44" s="748"/>
      <c r="D44" s="214">
        <f>SUM(D42:D43)</f>
        <v>1075000</v>
      </c>
      <c r="F44" s="215">
        <f>G44/D44</f>
        <v>0</v>
      </c>
      <c r="G44" s="216">
        <f>SUM(G42:G43)</f>
        <v>0</v>
      </c>
      <c r="H44" s="217">
        <f>G44/D44</f>
        <v>0</v>
      </c>
      <c r="I44" s="187"/>
      <c r="J44" s="218" t="e">
        <f>SUM(J42:J43)</f>
        <v>#REF!</v>
      </c>
      <c r="K44" s="219"/>
      <c r="L44" s="220"/>
      <c r="M44" s="218"/>
      <c r="N44" s="218"/>
      <c r="O44" s="218"/>
      <c r="P44" s="218"/>
      <c r="Q44" s="218"/>
      <c r="R44" s="221"/>
    </row>
    <row r="45" spans="2:23" x14ac:dyDescent="0.2">
      <c r="D45" s="223"/>
      <c r="F45" s="223"/>
      <c r="G45" s="223"/>
      <c r="K45" s="6"/>
      <c r="L45" s="6"/>
    </row>
    <row r="46" spans="2:23" ht="15" customHeight="1" x14ac:dyDescent="0.2">
      <c r="B46" s="224" t="s">
        <v>447</v>
      </c>
      <c r="C46" s="225"/>
      <c r="D46" s="226">
        <f>G44</f>
        <v>0</v>
      </c>
      <c r="F46" s="227">
        <f>D46/D44</f>
        <v>0</v>
      </c>
      <c r="H46" s="57"/>
    </row>
    <row r="47" spans="2:23" x14ac:dyDescent="0.2">
      <c r="B47" s="228" t="s">
        <v>449</v>
      </c>
      <c r="C47" s="229"/>
      <c r="D47" s="230">
        <f>ROUND(F47*D44,2)</f>
        <v>322500</v>
      </c>
      <c r="F47" s="231">
        <v>0.3</v>
      </c>
    </row>
    <row r="48" spans="2:23" x14ac:dyDescent="0.2">
      <c r="B48" s="228" t="str">
        <f>IF(D47&gt;D46,"Shortfall:","Surplus to Requirements:")</f>
        <v>Shortfall:</v>
      </c>
      <c r="C48" s="229"/>
      <c r="D48" s="230">
        <f>ABS(D47-D46)</f>
        <v>322500</v>
      </c>
      <c r="F48" s="231">
        <f>ABS(F47-F46)</f>
        <v>0.3</v>
      </c>
      <c r="M48" s="6" t="s">
        <v>448</v>
      </c>
      <c r="N48" s="226">
        <f>N49*O48</f>
        <v>12784</v>
      </c>
      <c r="O48" s="588">
        <v>7.5200000000000003E-2</v>
      </c>
    </row>
    <row r="49" spans="2:23" x14ac:dyDescent="0.2">
      <c r="M49" s="5" t="s">
        <v>450</v>
      </c>
      <c r="N49" s="232">
        <f>SUM(D9:D40)</f>
        <v>170000</v>
      </c>
      <c r="O49" s="231">
        <f>ROUND(N49/N$49,3)</f>
        <v>1</v>
      </c>
    </row>
    <row r="50" spans="2:23" ht="42.75" customHeight="1" x14ac:dyDescent="0.2">
      <c r="B50" s="749" t="s">
        <v>451</v>
      </c>
      <c r="C50" s="749"/>
      <c r="D50" s="749"/>
      <c r="E50" s="749"/>
      <c r="F50" s="749"/>
      <c r="G50" s="749"/>
      <c r="U50" s="80" t="s">
        <v>452</v>
      </c>
      <c r="V50" s="350" t="e">
        <f>N48/(_LabourDaily)</f>
        <v>#DIV/0!</v>
      </c>
    </row>
    <row r="51" spans="2:23" x14ac:dyDescent="0.2">
      <c r="V51" s="80" t="s">
        <v>453</v>
      </c>
      <c r="W51" s="80" t="s">
        <v>454</v>
      </c>
    </row>
    <row r="52" spans="2:23" x14ac:dyDescent="0.2">
      <c r="B52" s="233"/>
      <c r="V52" s="80" t="e">
        <f>V50/22/_ContractPeriod</f>
        <v>#DIV/0!</v>
      </c>
      <c r="W52" s="80" t="e">
        <f>V52*0.2</f>
        <v>#DIV/0!</v>
      </c>
    </row>
    <row r="53" spans="2:23" x14ac:dyDescent="0.2">
      <c r="V53" s="80" t="e">
        <f>V52-W52</f>
        <v>#DIV/0!</v>
      </c>
    </row>
    <row r="54" spans="2:23" ht="21" customHeight="1" x14ac:dyDescent="0.2">
      <c r="B54" s="193"/>
      <c r="C54" s="194"/>
      <c r="D54" s="234"/>
      <c r="F54" s="196"/>
      <c r="G54" s="195"/>
      <c r="H54" s="235"/>
      <c r="I54" s="187"/>
    </row>
    <row r="55" spans="2:23" ht="21" customHeight="1" x14ac:dyDescent="0.2">
      <c r="B55" s="193"/>
      <c r="C55" s="194"/>
      <c r="D55" s="234"/>
      <c r="F55" s="196"/>
      <c r="G55" s="195"/>
      <c r="H55" s="236"/>
      <c r="I55" s="187"/>
    </row>
    <row r="56" spans="2:23" ht="21" customHeight="1" x14ac:dyDescent="0.2">
      <c r="B56" s="193"/>
      <c r="C56" s="194"/>
      <c r="D56" s="234"/>
      <c r="F56" s="196"/>
      <c r="G56" s="195"/>
      <c r="H56" s="235"/>
      <c r="I56" s="187"/>
    </row>
    <row r="57" spans="2:23" ht="21" customHeight="1" x14ac:dyDescent="0.2">
      <c r="B57" s="193"/>
      <c r="C57" s="194"/>
      <c r="D57" s="234"/>
      <c r="F57" s="196"/>
      <c r="G57" s="195"/>
      <c r="H57" s="236"/>
      <c r="I57" s="187"/>
    </row>
    <row r="58" spans="2:23" ht="21" customHeight="1" x14ac:dyDescent="0.2">
      <c r="B58" s="193"/>
      <c r="C58" s="194"/>
      <c r="D58" s="234"/>
      <c r="F58" s="196"/>
      <c r="G58" s="195"/>
      <c r="H58" s="236"/>
      <c r="I58" s="187"/>
    </row>
    <row r="61" spans="2:23" x14ac:dyDescent="0.2">
      <c r="B61" s="222" t="s">
        <v>458</v>
      </c>
    </row>
    <row r="63" spans="2:23" x14ac:dyDescent="0.2">
      <c r="B63" s="750" t="s">
        <v>442</v>
      </c>
      <c r="C63" s="751"/>
      <c r="D63" s="195">
        <v>78810226.599999994</v>
      </c>
    </row>
    <row r="64" spans="2:23" x14ac:dyDescent="0.2">
      <c r="B64" s="750" t="s">
        <v>443</v>
      </c>
      <c r="C64" s="751"/>
      <c r="D64" s="195">
        <v>4836558.1900000004</v>
      </c>
    </row>
    <row r="65" spans="2:4" x14ac:dyDescent="0.2">
      <c r="B65" s="750" t="s">
        <v>444</v>
      </c>
      <c r="C65" s="751"/>
      <c r="D65" s="195">
        <v>521125</v>
      </c>
    </row>
    <row r="66" spans="2:4" ht="13.5" thickBot="1" x14ac:dyDescent="0.25">
      <c r="B66" s="757" t="s">
        <v>445</v>
      </c>
      <c r="C66" s="758"/>
      <c r="D66" s="207">
        <v>3558000</v>
      </c>
    </row>
    <row r="67" spans="2:4" ht="13.5" thickBot="1" x14ac:dyDescent="0.25">
      <c r="B67" s="745" t="s">
        <v>446</v>
      </c>
      <c r="C67" s="746"/>
      <c r="D67" s="214">
        <v>87725909.789999992</v>
      </c>
    </row>
    <row r="68" spans="2:4" x14ac:dyDescent="0.2">
      <c r="B68" s="247"/>
      <c r="C68" s="248"/>
      <c r="D68" s="223"/>
    </row>
    <row r="69" spans="2:4" x14ac:dyDescent="0.2">
      <c r="B69" s="249" t="s">
        <v>447</v>
      </c>
      <c r="C69" s="250"/>
      <c r="D69" s="226">
        <v>33406224.260000002</v>
      </c>
    </row>
    <row r="70" spans="2:4" x14ac:dyDescent="0.2">
      <c r="B70" s="251" t="s">
        <v>449</v>
      </c>
      <c r="C70" s="252"/>
      <c r="D70" s="230">
        <v>30704068.43</v>
      </c>
    </row>
    <row r="71" spans="2:4" x14ac:dyDescent="0.2">
      <c r="B71" s="251" t="str">
        <f>IF(D70&gt;D69,"Shortfall:","Surplus to Requirements:")</f>
        <v>Surplus to Requirements:</v>
      </c>
      <c r="C71" s="252"/>
      <c r="D71" s="230">
        <v>2702155.8300000019</v>
      </c>
    </row>
  </sheetData>
  <mergeCells count="11">
    <mergeCell ref="B6:D6"/>
    <mergeCell ref="S36:S39"/>
    <mergeCell ref="B42:C42"/>
    <mergeCell ref="B43:C43"/>
    <mergeCell ref="B66:C66"/>
    <mergeCell ref="B67:C67"/>
    <mergeCell ref="B44:C44"/>
    <mergeCell ref="B50:G50"/>
    <mergeCell ref="B63:C63"/>
    <mergeCell ref="B64:C64"/>
    <mergeCell ref="B65:C65"/>
  </mergeCells>
  <phoneticPr fontId="14" type="noConversion"/>
  <pageMargins left="0.39370078740157483" right="0.35433070866141736" top="0.62992125984251968" bottom="0.55118110236220474" header="0.51181102362204722" footer="0.31496062992125984"/>
  <pageSetup paperSize="9" scale="52" firstPageNumber="38" orientation="landscape" cellComments="asDisplayed" r:id="rId1"/>
  <headerFooter alignWithMargins="0">
    <oddHeader xml:space="preserve">&amp;R&amp;"Arial,Bold Italic"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2CF8-B0F1-46B7-99BA-F0CD8A454ED6}">
  <sheetPr>
    <tabColor theme="9" tint="0.79998168889431442"/>
  </sheetPr>
  <dimension ref="B1:M46"/>
  <sheetViews>
    <sheetView view="pageBreakPreview" zoomScaleNormal="125" zoomScaleSheetLayoutView="100" zoomScalePageLayoutView="125" workbookViewId="0">
      <selection activeCell="F15" sqref="F15:F44"/>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0" width="8.42578125" style="1" bestFit="1" customWidth="1"/>
    <col min="11" max="11" width="10.7109375" style="1" bestFit="1" customWidth="1"/>
    <col min="12" max="16384" width="6.85546875" style="1"/>
  </cols>
  <sheetData>
    <row r="1" spans="2:13" x14ac:dyDescent="0.2">
      <c r="G1" s="166">
        <f>MAX(G9:G497)</f>
        <v>0</v>
      </c>
    </row>
    <row r="2" spans="2:13" x14ac:dyDescent="0.2">
      <c r="B2" s="2" t="str">
        <f>Client1</f>
        <v>Province of KwaZulu-Natal</v>
      </c>
      <c r="E2" s="703" t="str">
        <f>"Contract No. "&amp;ContractNo</f>
        <v>Contract No. ZNB02287/00000/00/MET/INF/24/T</v>
      </c>
      <c r="F2" s="703"/>
      <c r="G2" s="703"/>
      <c r="J2" s="293"/>
      <c r="K2" s="293">
        <f>MAX(K3:K242)</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C1.6</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25" t="str">
        <f t="shared" ref="G10:G17" si="0">IF(D10="","",E10*F10)</f>
        <v/>
      </c>
      <c r="H10" s="18"/>
      <c r="J10" s="16"/>
      <c r="K10" s="16"/>
      <c r="L10" s="16"/>
      <c r="M10" s="16"/>
    </row>
    <row r="11" spans="2:13" x14ac:dyDescent="0.2">
      <c r="B11" s="67" t="s">
        <v>69</v>
      </c>
      <c r="C11" s="20" t="s">
        <v>70</v>
      </c>
      <c r="D11" s="22"/>
      <c r="E11" s="22"/>
      <c r="F11" s="16"/>
      <c r="G11" s="25" t="str">
        <f t="shared" si="0"/>
        <v/>
      </c>
      <c r="H11" s="42"/>
      <c r="J11" s="41"/>
      <c r="K11" s="41"/>
      <c r="L11" s="41"/>
      <c r="M11" s="41"/>
    </row>
    <row r="12" spans="2:13" x14ac:dyDescent="0.2">
      <c r="B12" s="51"/>
      <c r="C12" s="14"/>
      <c r="D12" s="22"/>
      <c r="E12" s="22"/>
      <c r="F12" s="16"/>
      <c r="G12" s="25" t="str">
        <f t="shared" si="0"/>
        <v/>
      </c>
      <c r="H12" s="42"/>
      <c r="J12" s="41"/>
      <c r="K12" s="41"/>
      <c r="L12" s="41"/>
      <c r="M12" s="41"/>
    </row>
    <row r="13" spans="2:13" x14ac:dyDescent="0.2">
      <c r="B13" s="67" t="s">
        <v>71</v>
      </c>
      <c r="C13" s="20" t="s">
        <v>72</v>
      </c>
      <c r="D13" s="22"/>
      <c r="E13" s="22"/>
      <c r="F13" s="16"/>
      <c r="G13" s="25" t="str">
        <f t="shared" si="0"/>
        <v/>
      </c>
      <c r="H13" s="42"/>
      <c r="J13" s="24"/>
      <c r="K13" s="46" t="str">
        <f t="shared" ref="K13:K28" si="1">IF(J13="","",J13*E13)</f>
        <v/>
      </c>
      <c r="L13" s="24"/>
      <c r="M13" s="24"/>
    </row>
    <row r="14" spans="2:13" x14ac:dyDescent="0.2">
      <c r="B14" s="51"/>
      <c r="C14" s="14"/>
      <c r="D14" s="22"/>
      <c r="E14" s="22"/>
      <c r="F14" s="16"/>
      <c r="G14" s="25" t="str">
        <f t="shared" si="0"/>
        <v/>
      </c>
      <c r="H14" s="42"/>
      <c r="J14" s="16"/>
      <c r="K14" s="62" t="str">
        <f t="shared" si="1"/>
        <v/>
      </c>
      <c r="L14" s="41"/>
      <c r="M14" s="41"/>
    </row>
    <row r="15" spans="2:13" ht="25.5" x14ac:dyDescent="0.2">
      <c r="B15" s="51" t="s">
        <v>73</v>
      </c>
      <c r="C15" s="14" t="s">
        <v>75</v>
      </c>
      <c r="D15" s="22" t="s">
        <v>21</v>
      </c>
      <c r="E15" s="611">
        <v>28</v>
      </c>
      <c r="F15" s="16"/>
      <c r="G15" s="25">
        <f t="shared" si="0"/>
        <v>0</v>
      </c>
      <c r="H15" s="43"/>
      <c r="J15" s="338" cm="1">
        <f t="array" ref="J15">_Clearing*5%</f>
        <v>0</v>
      </c>
      <c r="K15" s="62">
        <f t="shared" si="1"/>
        <v>0</v>
      </c>
      <c r="L15" s="41"/>
      <c r="M15" s="41"/>
    </row>
    <row r="16" spans="2:13" x14ac:dyDescent="0.2">
      <c r="B16" s="51"/>
      <c r="C16" s="14"/>
      <c r="D16" s="22"/>
      <c r="E16" s="23"/>
      <c r="F16" s="16"/>
      <c r="G16" s="25" t="str">
        <f t="shared" si="0"/>
        <v/>
      </c>
      <c r="H16" s="43"/>
      <c r="J16" s="16"/>
      <c r="K16" s="62" t="str">
        <f t="shared" si="1"/>
        <v/>
      </c>
      <c r="L16" s="41"/>
      <c r="M16" s="41"/>
    </row>
    <row r="17" spans="2:13" ht="25.5" x14ac:dyDescent="0.2">
      <c r="B17" s="51" t="s">
        <v>74</v>
      </c>
      <c r="C17" s="14" t="s">
        <v>76</v>
      </c>
      <c r="D17" s="22" t="s">
        <v>21</v>
      </c>
      <c r="E17" s="372">
        <v>2.8</v>
      </c>
      <c r="F17" s="16"/>
      <c r="G17" s="25">
        <f t="shared" si="0"/>
        <v>0</v>
      </c>
      <c r="H17" s="43"/>
      <c r="J17" s="338">
        <f>_Clearing*20%</f>
        <v>0</v>
      </c>
      <c r="K17" s="62">
        <f t="shared" si="1"/>
        <v>0</v>
      </c>
      <c r="L17" s="41"/>
      <c r="M17" s="41"/>
    </row>
    <row r="18" spans="2:13" x14ac:dyDescent="0.2">
      <c r="B18" s="51"/>
      <c r="C18" s="14"/>
      <c r="D18" s="22"/>
      <c r="E18" s="23"/>
      <c r="F18" s="16"/>
      <c r="G18" s="25"/>
      <c r="H18" s="43"/>
      <c r="J18" s="16"/>
      <c r="K18" s="62" t="str">
        <f t="shared" si="1"/>
        <v/>
      </c>
      <c r="L18" s="41"/>
      <c r="M18" s="41"/>
    </row>
    <row r="19" spans="2:13" hidden="1" x14ac:dyDescent="0.2">
      <c r="B19" s="51" t="s">
        <v>758</v>
      </c>
      <c r="C19" s="14" t="s">
        <v>759</v>
      </c>
      <c r="D19" s="22" t="s">
        <v>22</v>
      </c>
      <c r="E19" s="23">
        <v>0</v>
      </c>
      <c r="F19" s="16"/>
      <c r="G19" s="25">
        <f t="shared" ref="G19:G21" si="2">IF(D19="","",E19*F19)</f>
        <v>0</v>
      </c>
      <c r="H19" s="43"/>
      <c r="J19" s="16"/>
      <c r="K19" s="62"/>
      <c r="L19" s="41"/>
      <c r="M19" s="41"/>
    </row>
    <row r="20" spans="2:13" ht="12" customHeight="1" x14ac:dyDescent="0.2">
      <c r="B20" s="51"/>
      <c r="C20" s="14"/>
      <c r="D20" s="22"/>
      <c r="E20" s="23"/>
      <c r="F20" s="16"/>
      <c r="G20" s="25" t="str">
        <f t="shared" si="2"/>
        <v/>
      </c>
      <c r="H20" s="43"/>
      <c r="J20" s="16"/>
      <c r="K20" s="62"/>
      <c r="L20" s="41"/>
      <c r="M20" s="41"/>
    </row>
    <row r="21" spans="2:13" hidden="1" x14ac:dyDescent="0.2">
      <c r="B21" s="51"/>
      <c r="C21" s="14"/>
      <c r="D21" s="22"/>
      <c r="E21" s="23"/>
      <c r="F21" s="16"/>
      <c r="G21" s="25" t="str">
        <f t="shared" si="2"/>
        <v/>
      </c>
      <c r="H21" s="43"/>
      <c r="J21" s="16"/>
      <c r="K21" s="62"/>
      <c r="L21" s="41"/>
      <c r="M21" s="41"/>
    </row>
    <row r="22" spans="2:13" ht="25.5" hidden="1" x14ac:dyDescent="0.2">
      <c r="B22" s="51" t="s">
        <v>760</v>
      </c>
      <c r="C22" s="14" t="s">
        <v>761</v>
      </c>
      <c r="D22" s="22" t="s">
        <v>256</v>
      </c>
      <c r="E22" s="23">
        <v>0</v>
      </c>
      <c r="F22" s="16"/>
      <c r="G22" s="25">
        <f>IF(D22="","",E22*F22)</f>
        <v>0</v>
      </c>
      <c r="H22" s="42"/>
      <c r="J22" s="16"/>
      <c r="K22" s="62" t="str">
        <f t="shared" si="1"/>
        <v/>
      </c>
      <c r="L22" s="41"/>
      <c r="M22" s="41"/>
    </row>
    <row r="23" spans="2:13" hidden="1" x14ac:dyDescent="0.2">
      <c r="B23" s="67"/>
      <c r="C23" s="20"/>
      <c r="D23" s="22"/>
      <c r="E23" s="23"/>
      <c r="F23" s="16"/>
      <c r="G23" s="25"/>
      <c r="H23" s="42"/>
      <c r="J23" s="16"/>
      <c r="K23" s="62"/>
      <c r="L23" s="41"/>
      <c r="M23" s="41"/>
    </row>
    <row r="24" spans="2:13" x14ac:dyDescent="0.2">
      <c r="B24" s="67" t="s">
        <v>77</v>
      </c>
      <c r="C24" s="20" t="s">
        <v>78</v>
      </c>
      <c r="D24" s="22"/>
      <c r="E24" s="23"/>
      <c r="F24" s="16"/>
      <c r="G24" s="25" t="str">
        <f t="shared" ref="G24:G45" si="3">IF(D24="","",E24*F24)</f>
        <v/>
      </c>
      <c r="H24" s="42"/>
      <c r="J24" s="16"/>
      <c r="K24" s="62" t="str">
        <f t="shared" si="1"/>
        <v/>
      </c>
      <c r="L24" s="41"/>
      <c r="M24" s="41"/>
    </row>
    <row r="25" spans="2:13" x14ac:dyDescent="0.2">
      <c r="B25" s="51"/>
      <c r="C25" s="14"/>
      <c r="D25" s="22"/>
      <c r="E25" s="23"/>
      <c r="F25" s="16"/>
      <c r="G25" s="25" t="str">
        <f t="shared" si="3"/>
        <v/>
      </c>
      <c r="H25" s="45"/>
      <c r="J25" s="16"/>
      <c r="K25" s="62" t="str">
        <f t="shared" si="1"/>
        <v/>
      </c>
      <c r="L25" s="41"/>
      <c r="M25" s="41"/>
    </row>
    <row r="26" spans="2:13" ht="25.5" x14ac:dyDescent="0.2">
      <c r="B26" s="51" t="s">
        <v>79</v>
      </c>
      <c r="C26" s="14" t="s">
        <v>567</v>
      </c>
      <c r="D26" s="22" t="s">
        <v>21</v>
      </c>
      <c r="E26" s="611">
        <v>28</v>
      </c>
      <c r="F26" s="16"/>
      <c r="G26" s="25">
        <f t="shared" si="3"/>
        <v>0</v>
      </c>
      <c r="J26" s="338">
        <f>_Clearing*5%</f>
        <v>0</v>
      </c>
      <c r="K26" s="62">
        <f t="shared" si="1"/>
        <v>0</v>
      </c>
      <c r="L26" s="41"/>
      <c r="M26" s="41"/>
    </row>
    <row r="27" spans="2:13" x14ac:dyDescent="0.2">
      <c r="B27" s="51"/>
      <c r="C27" s="14"/>
      <c r="D27" s="22"/>
      <c r="E27" s="23"/>
      <c r="F27" s="16"/>
      <c r="G27" s="25" t="str">
        <f t="shared" si="3"/>
        <v/>
      </c>
      <c r="J27" s="16"/>
      <c r="K27" s="62" t="str">
        <f t="shared" si="1"/>
        <v/>
      </c>
      <c r="L27" s="41"/>
      <c r="M27" s="41"/>
    </row>
    <row r="28" spans="2:13" ht="27.75" customHeight="1" x14ac:dyDescent="0.2">
      <c r="B28" s="51" t="s">
        <v>80</v>
      </c>
      <c r="C28" s="14" t="s">
        <v>568</v>
      </c>
      <c r="D28" s="22" t="s">
        <v>21</v>
      </c>
      <c r="E28" s="372">
        <v>2.8</v>
      </c>
      <c r="F28" s="16"/>
      <c r="G28" s="25">
        <f t="shared" si="3"/>
        <v>0</v>
      </c>
      <c r="J28" s="338">
        <f>_Clearing*20%</f>
        <v>0</v>
      </c>
      <c r="K28" s="62">
        <f t="shared" si="1"/>
        <v>0</v>
      </c>
      <c r="L28" s="41"/>
      <c r="M28" s="41"/>
    </row>
    <row r="29" spans="2:13" x14ac:dyDescent="0.2">
      <c r="B29" s="51"/>
      <c r="C29" s="14"/>
      <c r="D29" s="22"/>
      <c r="E29" s="23"/>
      <c r="F29" s="16"/>
      <c r="G29" s="25" t="str">
        <f t="shared" si="3"/>
        <v/>
      </c>
      <c r="J29" s="41"/>
      <c r="K29" s="46"/>
      <c r="L29" s="41"/>
      <c r="M29" s="41"/>
    </row>
    <row r="30" spans="2:13" ht="25.5" hidden="1" x14ac:dyDescent="0.2">
      <c r="B30" s="51" t="s">
        <v>762</v>
      </c>
      <c r="C30" s="14" t="s">
        <v>763</v>
      </c>
      <c r="D30" s="22" t="s">
        <v>22</v>
      </c>
      <c r="E30" s="23">
        <v>0</v>
      </c>
      <c r="F30" s="16"/>
      <c r="G30" s="25">
        <f t="shared" si="3"/>
        <v>0</v>
      </c>
      <c r="J30" s="41"/>
      <c r="K30" s="46"/>
      <c r="L30" s="41"/>
      <c r="M30" s="41"/>
    </row>
    <row r="31" spans="2:13" x14ac:dyDescent="0.2">
      <c r="B31" s="51"/>
      <c r="C31" s="14"/>
      <c r="D31" s="22"/>
      <c r="E31" s="23"/>
      <c r="F31" s="16"/>
      <c r="G31" s="25" t="str">
        <f t="shared" si="3"/>
        <v/>
      </c>
      <c r="J31" s="41"/>
      <c r="K31" s="46"/>
      <c r="L31" s="41"/>
      <c r="M31" s="41"/>
    </row>
    <row r="32" spans="2:13" ht="25.5" hidden="1" x14ac:dyDescent="0.2">
      <c r="B32" s="51" t="s">
        <v>764</v>
      </c>
      <c r="C32" s="14" t="s">
        <v>765</v>
      </c>
      <c r="D32" s="22" t="s">
        <v>256</v>
      </c>
      <c r="E32" s="23">
        <v>0</v>
      </c>
      <c r="F32" s="16"/>
      <c r="G32" s="25">
        <f t="shared" si="3"/>
        <v>0</v>
      </c>
      <c r="J32" s="41"/>
      <c r="K32" s="46"/>
      <c r="L32" s="41"/>
      <c r="M32" s="41"/>
    </row>
    <row r="33" spans="2:13" x14ac:dyDescent="0.2">
      <c r="B33" s="51"/>
      <c r="C33" s="14"/>
      <c r="D33" s="22"/>
      <c r="E33" s="23"/>
      <c r="F33" s="16"/>
      <c r="G33" s="25"/>
      <c r="J33" s="41"/>
      <c r="K33" s="46"/>
      <c r="L33" s="41"/>
      <c r="M33" s="41"/>
    </row>
    <row r="34" spans="2:13" s="30" customFormat="1" x14ac:dyDescent="0.2">
      <c r="B34" s="6" t="s">
        <v>766</v>
      </c>
      <c r="C34" s="445" t="s">
        <v>571</v>
      </c>
      <c r="D34" s="446"/>
      <c r="E34" s="429"/>
      <c r="F34" s="431"/>
      <c r="G34" s="432" t="str">
        <f t="shared" si="3"/>
        <v/>
      </c>
      <c r="H34" s="36"/>
      <c r="J34" s="447"/>
      <c r="K34" s="448"/>
      <c r="L34" s="447"/>
      <c r="M34" s="447"/>
    </row>
    <row r="35" spans="2:13" x14ac:dyDescent="0.2">
      <c r="B35" s="51"/>
      <c r="C35" s="369"/>
      <c r="D35" s="370"/>
      <c r="E35" s="22"/>
      <c r="F35" s="16"/>
      <c r="G35" s="25" t="str">
        <f t="shared" si="3"/>
        <v/>
      </c>
      <c r="H35" s="43"/>
      <c r="J35" s="41"/>
      <c r="K35" s="46"/>
      <c r="L35" s="41"/>
      <c r="M35" s="41"/>
    </row>
    <row r="36" spans="2:13" ht="24" x14ac:dyDescent="0.2">
      <c r="B36" s="51" t="s">
        <v>767</v>
      </c>
      <c r="C36" s="369" t="s">
        <v>768</v>
      </c>
      <c r="D36" s="370" t="s">
        <v>549</v>
      </c>
      <c r="E36" s="22">
        <v>200</v>
      </c>
      <c r="F36" s="16"/>
      <c r="G36" s="25">
        <f t="shared" si="3"/>
        <v>0</v>
      </c>
      <c r="H36" s="43"/>
      <c r="J36" s="41"/>
      <c r="K36" s="46"/>
      <c r="L36" s="41"/>
      <c r="M36" s="41"/>
    </row>
    <row r="37" spans="2:13" x14ac:dyDescent="0.2">
      <c r="B37" s="51"/>
      <c r="C37" s="369"/>
      <c r="D37" s="370"/>
      <c r="E37" s="22"/>
      <c r="F37" s="16"/>
      <c r="G37" s="25" t="str">
        <f t="shared" si="3"/>
        <v/>
      </c>
      <c r="H37" s="43"/>
      <c r="J37" s="41"/>
      <c r="K37" s="46"/>
      <c r="L37" s="41"/>
      <c r="M37" s="41"/>
    </row>
    <row r="38" spans="2:13" x14ac:dyDescent="0.2">
      <c r="B38" s="51" t="s">
        <v>769</v>
      </c>
      <c r="C38" s="369" t="s">
        <v>770</v>
      </c>
      <c r="D38" s="370" t="s">
        <v>33</v>
      </c>
      <c r="E38" s="22">
        <v>70</v>
      </c>
      <c r="F38" s="16"/>
      <c r="G38" s="25">
        <f t="shared" si="3"/>
        <v>0</v>
      </c>
      <c r="H38" s="43"/>
      <c r="J38" s="41"/>
      <c r="K38" s="46"/>
      <c r="L38" s="41"/>
      <c r="M38" s="41"/>
    </row>
    <row r="39" spans="2:13" x14ac:dyDescent="0.2">
      <c r="B39" s="51"/>
      <c r="C39" s="369"/>
      <c r="D39" s="370"/>
      <c r="E39" s="22"/>
      <c r="F39" s="16"/>
      <c r="G39" s="25" t="str">
        <f t="shared" si="3"/>
        <v/>
      </c>
      <c r="H39" s="43"/>
      <c r="J39" s="41"/>
      <c r="K39" s="46"/>
      <c r="L39" s="41"/>
      <c r="M39" s="41"/>
    </row>
    <row r="40" spans="2:13" x14ac:dyDescent="0.2">
      <c r="B40" s="51" t="s">
        <v>771</v>
      </c>
      <c r="C40" s="369" t="s">
        <v>772</v>
      </c>
      <c r="D40" s="370" t="s">
        <v>33</v>
      </c>
      <c r="E40" s="22">
        <v>20</v>
      </c>
      <c r="F40" s="16"/>
      <c r="G40" s="25">
        <f t="shared" si="3"/>
        <v>0</v>
      </c>
      <c r="H40" s="43"/>
      <c r="J40" s="41"/>
      <c r="K40" s="46"/>
      <c r="L40" s="41"/>
      <c r="M40" s="41"/>
    </row>
    <row r="41" spans="2:13" x14ac:dyDescent="0.2">
      <c r="B41" s="51"/>
      <c r="C41" s="369"/>
      <c r="D41" s="370"/>
      <c r="E41" s="22"/>
      <c r="F41" s="16"/>
      <c r="G41" s="25" t="str">
        <f t="shared" si="3"/>
        <v/>
      </c>
      <c r="H41" s="43"/>
      <c r="J41" s="41"/>
      <c r="K41" s="46"/>
      <c r="L41" s="41"/>
      <c r="M41" s="41"/>
    </row>
    <row r="42" spans="2:13" x14ac:dyDescent="0.2">
      <c r="B42" s="51" t="s">
        <v>773</v>
      </c>
      <c r="C42" s="369" t="s">
        <v>774</v>
      </c>
      <c r="D42" s="370" t="s">
        <v>21</v>
      </c>
      <c r="E42" s="372">
        <v>14</v>
      </c>
      <c r="F42" s="16"/>
      <c r="G42" s="25">
        <f t="shared" si="3"/>
        <v>0</v>
      </c>
      <c r="H42" s="43"/>
      <c r="J42" s="41"/>
      <c r="K42" s="46"/>
      <c r="L42" s="41"/>
      <c r="M42" s="41"/>
    </row>
    <row r="43" spans="2:13" x14ac:dyDescent="0.2">
      <c r="B43" s="51"/>
      <c r="C43" s="369"/>
      <c r="D43" s="370"/>
      <c r="E43" s="22"/>
      <c r="F43" s="16"/>
      <c r="G43" s="25" t="str">
        <f t="shared" si="3"/>
        <v/>
      </c>
      <c r="H43" s="43"/>
      <c r="J43" s="41"/>
      <c r="K43" s="46"/>
      <c r="L43" s="41"/>
      <c r="M43" s="41"/>
    </row>
    <row r="44" spans="2:13" ht="25.5" x14ac:dyDescent="0.2">
      <c r="B44" s="51" t="s">
        <v>569</v>
      </c>
      <c r="C44" s="369" t="s">
        <v>570</v>
      </c>
      <c r="D44" s="370" t="s">
        <v>33</v>
      </c>
      <c r="E44" s="22">
        <v>100</v>
      </c>
      <c r="F44" s="16"/>
      <c r="G44" s="25">
        <f t="shared" si="3"/>
        <v>0</v>
      </c>
      <c r="H44" s="43"/>
      <c r="J44" s="41"/>
      <c r="K44" s="46"/>
      <c r="L44" s="41"/>
      <c r="M44" s="41"/>
    </row>
    <row r="45" spans="2:13" x14ac:dyDescent="0.2">
      <c r="B45" s="51"/>
      <c r="C45" s="14"/>
      <c r="D45" s="22"/>
      <c r="E45" s="22"/>
      <c r="F45" s="16"/>
      <c r="G45" s="25" t="str">
        <f t="shared" si="3"/>
        <v/>
      </c>
      <c r="H45" s="42"/>
    </row>
    <row r="46" spans="2:13" s="30" customFormat="1" ht="20.100000000000001" customHeight="1" x14ac:dyDescent="0.2">
      <c r="B46" s="74" t="str">
        <f>$B$11</f>
        <v>C1.6</v>
      </c>
      <c r="C46" s="32" t="str">
        <f>"TOTAL CARRIED FORWARD"&amp;IF(G46=G$1," TO SUMMARY (Page C"&amp;Page_A&amp;")","")</f>
        <v>TOTAL CARRIED FORWARD TO SUMMARY (Page C49)</v>
      </c>
      <c r="D46" s="33"/>
      <c r="E46" s="34"/>
      <c r="F46" s="33"/>
      <c r="G46" s="352">
        <f>SUM(G10:G45)</f>
        <v>0</v>
      </c>
      <c r="H46" s="36"/>
      <c r="K46" s="35">
        <f>SUM(K10:K45)</f>
        <v>0</v>
      </c>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270E9E66-897D-4D3A-8BA4-9F7E446BAF8A}">
            <xm:f>AND(Information!$C$8=FALSE,$D10&lt;&gt;"P C Sum",$D10&lt;&gt;"PC Sum",$D10&lt;&gt;"P Sum",$D10&lt;&gt;"Prov Sum")</xm:f>
            <x14:dxf>
              <font>
                <strike val="0"/>
                <color theme="0"/>
              </font>
              <numFmt numFmtId="4" formatCode="#,##0.00"/>
            </x14:dxf>
          </x14:cfRule>
          <xm:sqref>F45:G45 F10:G33 F38:F44 G34:G44</xm:sqref>
        </x14:conditionalFormatting>
        <x14:conditionalFormatting xmlns:xm="http://schemas.microsoft.com/office/excel/2006/main">
          <x14:cfRule type="expression" priority="3" id="{62ABB661-A551-477A-9B69-E7462CED8B2D}">
            <xm:f>AND(Information!$C$8=FALSE,$D46&lt;&gt;"P C Sum",$D46&lt;&gt;"PC Sum",$D46&lt;&gt;"P Sum",$D46&lt;&gt;"Prov Sum")</xm:f>
            <x14:dxf>
              <font>
                <strike val="0"/>
                <color theme="0"/>
              </font>
              <numFmt numFmtId="4" formatCode="#,##0.00"/>
            </x14:dxf>
          </x14:cfRule>
          <xm:sqref>G46</xm:sqref>
        </x14:conditionalFormatting>
        <x14:conditionalFormatting xmlns:xm="http://schemas.microsoft.com/office/excel/2006/main">
          <x14:cfRule type="expression" priority="2" id="{6B2265E3-1A0C-403E-A4C9-52F7A590714E}">
            <xm:f>AND(Information!$C$8=FALSE,$D34&lt;&gt;"P C Sum",$D34&lt;&gt;"PC Sum",$D34&lt;&gt;"P Sum",$D34&lt;&gt;"Prov Sum")</xm:f>
            <x14:dxf>
              <font>
                <strike val="0"/>
                <color theme="0"/>
              </font>
              <numFmt numFmtId="4" formatCode="#,##0.00"/>
            </x14:dxf>
          </x14:cfRule>
          <xm:sqref>F34:F37</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C4C-491B-497D-94E9-DAB354234829}">
  <sheetPr>
    <tabColor theme="9" tint="0.79998168889431442"/>
  </sheetPr>
  <dimension ref="B1:M129"/>
  <sheetViews>
    <sheetView view="pageBreakPreview" topLeftCell="A90" zoomScale="88" zoomScaleNormal="125" zoomScaleSheetLayoutView="88" zoomScalePageLayoutView="125" workbookViewId="0">
      <selection activeCell="O90" sqref="O90"/>
    </sheetView>
  </sheetViews>
  <sheetFormatPr defaultColWidth="6.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9" width="6.85546875" style="1"/>
    <col min="10" max="10" width="7.85546875" style="1" bestFit="1" customWidth="1"/>
    <col min="11" max="11" width="11.7109375" style="1" bestFit="1" customWidth="1"/>
    <col min="12" max="16384" width="6.85546875" style="1"/>
  </cols>
  <sheetData>
    <row r="1" spans="2:13" x14ac:dyDescent="0.2">
      <c r="G1" s="166">
        <f>MAX(G9:G515)</f>
        <v>0</v>
      </c>
    </row>
    <row r="2" spans="2:13" x14ac:dyDescent="0.2">
      <c r="B2" s="2" t="str">
        <f>Client1</f>
        <v>Province of KwaZulu-Natal</v>
      </c>
      <c r="E2" s="703" t="str">
        <f>"Contract No. "&amp;ContractNo</f>
        <v>Contract No. ZNB02287/00000/00/MET/INF/24/T</v>
      </c>
      <c r="F2" s="703"/>
      <c r="G2" s="703"/>
      <c r="J2" s="293"/>
      <c r="K2" s="293">
        <f>MAX(K3:K260)</f>
        <v>0</v>
      </c>
      <c r="L2" s="293"/>
      <c r="M2" s="294"/>
    </row>
    <row r="3" spans="2:13" x14ac:dyDescent="0.2">
      <c r="B3" s="81" t="str">
        <f>Client2</f>
        <v>Department of Transport</v>
      </c>
      <c r="J3" s="1" t="s">
        <v>470</v>
      </c>
      <c r="K3" s="1" t="s">
        <v>471</v>
      </c>
      <c r="L3" s="1" t="s">
        <v>472</v>
      </c>
      <c r="M3" s="1" t="s">
        <v>473</v>
      </c>
    </row>
    <row r="4" spans="2:13" x14ac:dyDescent="0.2">
      <c r="B4" s="71"/>
      <c r="C4" s="71"/>
      <c r="D4" s="72"/>
      <c r="E4" s="72"/>
      <c r="F4" s="73"/>
      <c r="G4" s="82"/>
      <c r="J4" s="73"/>
      <c r="K4" s="73"/>
      <c r="L4" s="73"/>
      <c r="M4" s="73"/>
    </row>
    <row r="5" spans="2:13" x14ac:dyDescent="0.2">
      <c r="B5" s="698" t="s">
        <v>8</v>
      </c>
      <c r="C5" s="699"/>
      <c r="D5" s="699"/>
      <c r="E5" s="699"/>
      <c r="F5" s="699"/>
      <c r="G5" s="695" t="str">
        <f>"CHAPTER "&amp;B11</f>
        <v>CHAPTER C3.1</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ht="7.5" customHeight="1" x14ac:dyDescent="0.2">
      <c r="B8" s="693"/>
      <c r="C8" s="694"/>
      <c r="D8" s="694"/>
      <c r="E8" s="694"/>
      <c r="F8" s="694"/>
      <c r="G8" s="697"/>
      <c r="H8" s="8"/>
    </row>
    <row r="9" spans="2:13" s="9" customFormat="1" ht="24.95" customHeight="1" x14ac:dyDescent="0.2">
      <c r="B9" s="10" t="s">
        <v>0</v>
      </c>
      <c r="C9" s="11" t="s">
        <v>1</v>
      </c>
      <c r="D9" s="530" t="s">
        <v>2</v>
      </c>
      <c r="E9" s="11" t="s">
        <v>3</v>
      </c>
      <c r="F9" s="531" t="s">
        <v>4</v>
      </c>
      <c r="G9" s="11" t="s">
        <v>5</v>
      </c>
      <c r="H9" s="12"/>
      <c r="J9" s="11"/>
      <c r="K9" s="11"/>
      <c r="L9" s="11"/>
      <c r="M9" s="11"/>
    </row>
    <row r="10" spans="2:13" x14ac:dyDescent="0.2">
      <c r="B10" s="524"/>
      <c r="C10" s="528"/>
      <c r="D10" s="520"/>
      <c r="E10" s="15"/>
      <c r="F10" s="532"/>
      <c r="G10" s="25" t="str">
        <f t="shared" ref="G10:G84" si="0">IF(D10="","",E10*F10)</f>
        <v/>
      </c>
      <c r="H10" s="18"/>
      <c r="J10" s="16"/>
      <c r="K10" s="16"/>
      <c r="L10" s="16"/>
      <c r="M10" s="16"/>
    </row>
    <row r="11" spans="2:13" x14ac:dyDescent="0.2">
      <c r="B11" s="525" t="s">
        <v>132</v>
      </c>
      <c r="C11" s="20" t="s">
        <v>131</v>
      </c>
      <c r="D11" s="520"/>
      <c r="E11" s="15"/>
      <c r="F11" s="532"/>
      <c r="G11" s="25" t="str">
        <f t="shared" si="0"/>
        <v/>
      </c>
      <c r="H11" s="18"/>
      <c r="J11" s="41"/>
      <c r="K11" s="41"/>
      <c r="L11" s="41"/>
      <c r="M11" s="41"/>
    </row>
    <row r="12" spans="2:13" x14ac:dyDescent="0.2">
      <c r="B12" s="525"/>
      <c r="C12" s="20"/>
      <c r="D12" s="520"/>
      <c r="E12" s="15"/>
      <c r="F12" s="532"/>
      <c r="G12" s="25"/>
      <c r="H12" s="18"/>
      <c r="J12" s="41"/>
      <c r="K12" s="41"/>
      <c r="L12" s="41"/>
      <c r="M12" s="41"/>
    </row>
    <row r="13" spans="2:13" x14ac:dyDescent="0.2">
      <c r="B13" s="525" t="s">
        <v>785</v>
      </c>
      <c r="C13" s="20" t="s">
        <v>786</v>
      </c>
      <c r="D13" s="520"/>
      <c r="E13" s="15"/>
      <c r="F13" s="532"/>
      <c r="G13" s="25"/>
      <c r="H13" s="18"/>
      <c r="J13" s="41"/>
      <c r="K13" s="41"/>
      <c r="L13" s="41"/>
      <c r="M13" s="41"/>
    </row>
    <row r="14" spans="2:13" ht="25.5" x14ac:dyDescent="0.2">
      <c r="B14" s="526" t="s">
        <v>787</v>
      </c>
      <c r="C14" s="14" t="s">
        <v>788</v>
      </c>
      <c r="D14" s="520"/>
      <c r="E14" s="15"/>
      <c r="F14" s="532"/>
      <c r="G14" s="25"/>
      <c r="H14" s="18"/>
      <c r="J14" s="41"/>
      <c r="K14" s="41"/>
      <c r="L14" s="41"/>
      <c r="M14" s="41"/>
    </row>
    <row r="15" spans="2:13" x14ac:dyDescent="0.2">
      <c r="B15" s="527"/>
      <c r="C15" s="14"/>
      <c r="D15" s="520"/>
      <c r="E15" s="15"/>
      <c r="F15" s="532"/>
      <c r="G15" s="25"/>
      <c r="H15" s="18"/>
      <c r="J15" s="41"/>
      <c r="K15" s="41"/>
      <c r="L15" s="41"/>
      <c r="M15" s="41"/>
    </row>
    <row r="16" spans="2:13" x14ac:dyDescent="0.2">
      <c r="B16" s="527"/>
      <c r="C16" s="14" t="s">
        <v>789</v>
      </c>
      <c r="D16" s="520" t="s">
        <v>181</v>
      </c>
      <c r="E16" s="15">
        <v>145</v>
      </c>
      <c r="F16" s="532"/>
      <c r="G16" s="25">
        <f t="shared" si="0"/>
        <v>0</v>
      </c>
      <c r="H16" s="18"/>
      <c r="J16" s="41"/>
      <c r="K16" s="41"/>
      <c r="L16" s="41"/>
      <c r="M16" s="41"/>
    </row>
    <row r="17" spans="2:13" x14ac:dyDescent="0.2">
      <c r="B17" s="527"/>
      <c r="C17" s="14"/>
      <c r="D17" s="520"/>
      <c r="E17" s="15"/>
      <c r="F17" s="532"/>
      <c r="G17" s="25" t="str">
        <f t="shared" si="0"/>
        <v/>
      </c>
      <c r="H17" s="18"/>
      <c r="J17" s="41"/>
      <c r="K17" s="41"/>
      <c r="L17" s="41"/>
      <c r="M17" s="41"/>
    </row>
    <row r="18" spans="2:13" ht="38.25" x14ac:dyDescent="0.2">
      <c r="B18" s="526" t="s">
        <v>790</v>
      </c>
      <c r="C18" s="14" t="s">
        <v>791</v>
      </c>
      <c r="D18" s="520" t="s">
        <v>181</v>
      </c>
      <c r="E18" s="15">
        <v>24</v>
      </c>
      <c r="F18" s="532"/>
      <c r="G18" s="25">
        <f t="shared" si="0"/>
        <v>0</v>
      </c>
      <c r="H18" s="18"/>
      <c r="J18" s="41"/>
      <c r="K18" s="41"/>
      <c r="L18" s="41"/>
      <c r="M18" s="41"/>
    </row>
    <row r="19" spans="2:13" x14ac:dyDescent="0.2">
      <c r="B19" s="525"/>
      <c r="C19" s="20"/>
      <c r="D19" s="520"/>
      <c r="E19" s="15"/>
      <c r="F19" s="532"/>
      <c r="G19" s="25" t="str">
        <f t="shared" si="0"/>
        <v/>
      </c>
      <c r="H19" s="18"/>
      <c r="J19" s="41"/>
      <c r="K19" s="41"/>
      <c r="L19" s="41"/>
      <c r="M19" s="41"/>
    </row>
    <row r="20" spans="2:13" s="30" customFormat="1" ht="25.5" x14ac:dyDescent="0.2">
      <c r="B20" s="521" t="s">
        <v>130</v>
      </c>
      <c r="C20" s="20" t="s">
        <v>395</v>
      </c>
      <c r="D20" s="522"/>
      <c r="E20" s="451"/>
      <c r="F20" s="533"/>
      <c r="G20" s="432" t="str">
        <f t="shared" si="0"/>
        <v/>
      </c>
      <c r="H20" s="452"/>
      <c r="J20" s="447"/>
      <c r="K20" s="447"/>
      <c r="L20" s="447"/>
      <c r="M20" s="447"/>
    </row>
    <row r="21" spans="2:13" x14ac:dyDescent="0.2">
      <c r="B21" s="519"/>
      <c r="C21" s="14"/>
      <c r="D21" s="520"/>
      <c r="E21" s="26"/>
      <c r="F21" s="532"/>
      <c r="G21" s="25" t="str">
        <f t="shared" si="0"/>
        <v/>
      </c>
      <c r="H21" s="18"/>
      <c r="J21" s="41"/>
      <c r="K21" s="41"/>
      <c r="L21" s="41"/>
      <c r="M21" s="41"/>
    </row>
    <row r="22" spans="2:13" ht="14.25" x14ac:dyDescent="0.2">
      <c r="B22" s="524" t="s">
        <v>129</v>
      </c>
      <c r="C22" s="14" t="s">
        <v>128</v>
      </c>
      <c r="D22" s="222" t="s">
        <v>23</v>
      </c>
      <c r="E22" s="26">
        <v>1200</v>
      </c>
      <c r="F22" s="532"/>
      <c r="G22" s="25">
        <f t="shared" si="0"/>
        <v>0</v>
      </c>
      <c r="H22" s="18"/>
      <c r="J22" s="41"/>
      <c r="K22" s="41"/>
      <c r="L22" s="41"/>
      <c r="M22" s="41"/>
    </row>
    <row r="23" spans="2:13" x14ac:dyDescent="0.2">
      <c r="B23" s="519"/>
      <c r="C23" s="14"/>
      <c r="D23" s="520"/>
      <c r="E23" s="26"/>
      <c r="F23" s="532"/>
      <c r="G23" s="25" t="str">
        <f t="shared" si="0"/>
        <v/>
      </c>
      <c r="H23" s="18"/>
      <c r="J23" s="41"/>
      <c r="K23" s="41"/>
      <c r="L23" s="41"/>
      <c r="M23" s="41"/>
    </row>
    <row r="24" spans="2:13" x14ac:dyDescent="0.2">
      <c r="B24" s="519" t="s">
        <v>792</v>
      </c>
      <c r="C24" s="14" t="s">
        <v>793</v>
      </c>
      <c r="D24" s="520" t="s">
        <v>181</v>
      </c>
      <c r="E24" s="26">
        <v>110</v>
      </c>
      <c r="F24" s="532"/>
      <c r="G24" s="25">
        <f t="shared" si="0"/>
        <v>0</v>
      </c>
      <c r="H24" s="18"/>
      <c r="J24" s="41"/>
      <c r="K24" s="41"/>
      <c r="L24" s="41"/>
      <c r="M24" s="41"/>
    </row>
    <row r="25" spans="2:13" x14ac:dyDescent="0.2">
      <c r="B25" s="519"/>
      <c r="C25" s="14"/>
      <c r="D25" s="520"/>
      <c r="E25" s="26"/>
      <c r="F25" s="532"/>
      <c r="G25" s="25" t="str">
        <f t="shared" si="0"/>
        <v/>
      </c>
      <c r="H25" s="18"/>
      <c r="J25" s="41"/>
      <c r="K25" s="41"/>
      <c r="L25" s="41"/>
      <c r="M25" s="41"/>
    </row>
    <row r="26" spans="2:13" x14ac:dyDescent="0.2">
      <c r="B26" s="519"/>
      <c r="C26" s="14"/>
      <c r="D26" s="520"/>
      <c r="E26" s="26"/>
      <c r="F26" s="532"/>
      <c r="G26" s="25" t="str">
        <f t="shared" si="0"/>
        <v/>
      </c>
      <c r="H26" s="18"/>
      <c r="J26" s="41"/>
      <c r="K26" s="41"/>
      <c r="L26" s="41"/>
      <c r="M26" s="41"/>
    </row>
    <row r="27" spans="2:13" s="30" customFormat="1" ht="38.25" x14ac:dyDescent="0.2">
      <c r="B27" s="521" t="s">
        <v>695</v>
      </c>
      <c r="C27" s="20" t="s">
        <v>696</v>
      </c>
      <c r="D27" s="522"/>
      <c r="E27" s="450"/>
      <c r="F27" s="533"/>
      <c r="G27" s="25" t="str">
        <f t="shared" si="0"/>
        <v/>
      </c>
      <c r="H27" s="452"/>
      <c r="J27" s="447"/>
      <c r="K27" s="447"/>
      <c r="L27" s="447"/>
      <c r="M27" s="447"/>
    </row>
    <row r="28" spans="2:13" s="30" customFormat="1" x14ac:dyDescent="0.2">
      <c r="B28" s="521"/>
      <c r="C28" s="20"/>
      <c r="D28" s="522"/>
      <c r="E28" s="450"/>
      <c r="F28" s="533"/>
      <c r="G28" s="25" t="str">
        <f t="shared" si="0"/>
        <v/>
      </c>
      <c r="H28" s="452"/>
      <c r="J28" s="447"/>
      <c r="K28" s="447"/>
      <c r="L28" s="447"/>
      <c r="M28" s="447"/>
    </row>
    <row r="29" spans="2:13" s="30" customFormat="1" x14ac:dyDescent="0.2">
      <c r="B29" s="521" t="s">
        <v>794</v>
      </c>
      <c r="C29" s="20" t="s">
        <v>795</v>
      </c>
      <c r="D29" s="522"/>
      <c r="E29" s="450"/>
      <c r="F29" s="533"/>
      <c r="G29" s="25" t="str">
        <f t="shared" si="0"/>
        <v/>
      </c>
      <c r="H29" s="452"/>
      <c r="J29" s="447"/>
      <c r="K29" s="447"/>
      <c r="L29" s="447"/>
      <c r="M29" s="447"/>
    </row>
    <row r="30" spans="2:13" s="30" customFormat="1" x14ac:dyDescent="0.2">
      <c r="B30" s="521"/>
      <c r="C30" s="20"/>
      <c r="D30" s="522"/>
      <c r="E30" s="450"/>
      <c r="F30" s="533"/>
      <c r="G30" s="25" t="str">
        <f t="shared" si="0"/>
        <v/>
      </c>
      <c r="H30" s="452"/>
      <c r="J30" s="447"/>
      <c r="K30" s="447"/>
      <c r="L30" s="447"/>
      <c r="M30" s="447"/>
    </row>
    <row r="31" spans="2:13" x14ac:dyDescent="0.2">
      <c r="B31" s="519" t="s">
        <v>34</v>
      </c>
      <c r="C31" s="14" t="s">
        <v>698</v>
      </c>
      <c r="D31" s="520" t="s">
        <v>181</v>
      </c>
      <c r="E31" s="15">
        <v>45</v>
      </c>
      <c r="F31" s="532"/>
      <c r="G31" s="25">
        <f t="shared" si="0"/>
        <v>0</v>
      </c>
      <c r="H31" s="18"/>
      <c r="J31" s="41"/>
      <c r="K31" s="41"/>
      <c r="L31" s="41"/>
      <c r="M31" s="41"/>
    </row>
    <row r="32" spans="2:13" x14ac:dyDescent="0.2">
      <c r="B32" s="519"/>
      <c r="C32" s="14"/>
      <c r="D32" s="520"/>
      <c r="E32" s="15"/>
      <c r="F32" s="532"/>
      <c r="G32" s="25" t="str">
        <f t="shared" si="0"/>
        <v/>
      </c>
      <c r="H32" s="18"/>
      <c r="J32" s="41"/>
      <c r="K32" s="41"/>
      <c r="L32" s="41"/>
      <c r="M32" s="41"/>
    </row>
    <row r="33" spans="2:13" x14ac:dyDescent="0.2">
      <c r="B33" s="519" t="s">
        <v>35</v>
      </c>
      <c r="C33" s="14" t="s">
        <v>699</v>
      </c>
      <c r="D33" s="520" t="s">
        <v>181</v>
      </c>
      <c r="E33" s="15">
        <v>45</v>
      </c>
      <c r="F33" s="532"/>
      <c r="G33" s="25">
        <f t="shared" si="0"/>
        <v>0</v>
      </c>
      <c r="H33" s="18"/>
      <c r="J33" s="41"/>
      <c r="K33" s="41"/>
      <c r="L33" s="41"/>
      <c r="M33" s="41"/>
    </row>
    <row r="34" spans="2:13" x14ac:dyDescent="0.2">
      <c r="B34" s="519"/>
      <c r="C34" s="14"/>
      <c r="D34" s="520"/>
      <c r="E34" s="15"/>
      <c r="F34" s="532"/>
      <c r="G34" s="25" t="str">
        <f t="shared" si="0"/>
        <v/>
      </c>
      <c r="H34" s="18"/>
      <c r="J34" s="41"/>
      <c r="K34" s="41"/>
      <c r="L34" s="41"/>
      <c r="M34" s="41"/>
    </row>
    <row r="35" spans="2:13" x14ac:dyDescent="0.2">
      <c r="B35" s="519" t="s">
        <v>40</v>
      </c>
      <c r="C35" s="14" t="s">
        <v>796</v>
      </c>
      <c r="D35" s="520" t="s">
        <v>181</v>
      </c>
      <c r="E35" s="15">
        <v>45</v>
      </c>
      <c r="F35" s="532"/>
      <c r="G35" s="25">
        <f t="shared" si="0"/>
        <v>0</v>
      </c>
      <c r="H35" s="18"/>
      <c r="J35" s="41"/>
      <c r="K35" s="41"/>
      <c r="L35" s="41"/>
      <c r="M35" s="41"/>
    </row>
    <row r="36" spans="2:13" x14ac:dyDescent="0.2">
      <c r="B36" s="519"/>
      <c r="C36" s="14"/>
      <c r="D36" s="520"/>
      <c r="E36" s="15"/>
      <c r="F36" s="532"/>
      <c r="G36" s="25" t="str">
        <f t="shared" si="0"/>
        <v/>
      </c>
      <c r="H36" s="18"/>
      <c r="J36" s="41"/>
      <c r="K36" s="41"/>
      <c r="L36" s="41"/>
      <c r="M36" s="41"/>
    </row>
    <row r="37" spans="2:13" s="30" customFormat="1" x14ac:dyDescent="0.2">
      <c r="B37" s="521" t="s">
        <v>697</v>
      </c>
      <c r="C37" s="20" t="s">
        <v>797</v>
      </c>
      <c r="D37" s="522"/>
      <c r="E37" s="450"/>
      <c r="F37" s="533"/>
      <c r="G37" s="432" t="str">
        <f t="shared" si="0"/>
        <v/>
      </c>
      <c r="H37" s="452"/>
      <c r="J37" s="447"/>
      <c r="K37" s="447"/>
      <c r="L37" s="447"/>
      <c r="M37" s="447"/>
    </row>
    <row r="38" spans="2:13" x14ac:dyDescent="0.2">
      <c r="B38" s="519"/>
      <c r="C38" s="14"/>
      <c r="D38" s="520"/>
      <c r="E38" s="15"/>
      <c r="F38" s="532"/>
      <c r="G38" s="25" t="str">
        <f t="shared" si="0"/>
        <v/>
      </c>
      <c r="H38" s="18"/>
      <c r="J38" s="41"/>
      <c r="K38" s="41"/>
      <c r="L38" s="41"/>
      <c r="M38" s="41"/>
    </row>
    <row r="39" spans="2:13" x14ac:dyDescent="0.2">
      <c r="B39" s="519" t="s">
        <v>34</v>
      </c>
      <c r="C39" s="14" t="s">
        <v>698</v>
      </c>
      <c r="D39" s="520" t="s">
        <v>181</v>
      </c>
      <c r="E39" s="15">
        <v>120</v>
      </c>
      <c r="F39" s="532"/>
      <c r="G39" s="25">
        <f t="shared" si="0"/>
        <v>0</v>
      </c>
      <c r="H39" s="18"/>
      <c r="J39" s="41"/>
      <c r="K39" s="41"/>
      <c r="L39" s="41"/>
      <c r="M39" s="41"/>
    </row>
    <row r="40" spans="2:13" x14ac:dyDescent="0.2">
      <c r="B40" s="519"/>
      <c r="C40" s="14"/>
      <c r="D40" s="520"/>
      <c r="E40" s="15"/>
      <c r="F40" s="532"/>
      <c r="G40" s="25" t="str">
        <f t="shared" si="0"/>
        <v/>
      </c>
      <c r="H40" s="18"/>
      <c r="J40" s="41"/>
      <c r="K40" s="41"/>
      <c r="L40" s="41"/>
      <c r="M40" s="41"/>
    </row>
    <row r="41" spans="2:13" x14ac:dyDescent="0.2">
      <c r="B41" s="519" t="s">
        <v>35</v>
      </c>
      <c r="C41" s="14" t="s">
        <v>699</v>
      </c>
      <c r="D41" s="520" t="s">
        <v>181</v>
      </c>
      <c r="E41" s="15">
        <v>80</v>
      </c>
      <c r="F41" s="532"/>
      <c r="G41" s="25">
        <f t="shared" si="0"/>
        <v>0</v>
      </c>
      <c r="H41" s="18"/>
      <c r="J41" s="41"/>
      <c r="K41" s="41"/>
      <c r="L41" s="41"/>
      <c r="M41" s="41"/>
    </row>
    <row r="42" spans="2:13" x14ac:dyDescent="0.2">
      <c r="B42" s="519"/>
      <c r="C42" s="14"/>
      <c r="D42" s="520"/>
      <c r="E42" s="15"/>
      <c r="F42" s="532"/>
      <c r="G42" s="25" t="str">
        <f t="shared" si="0"/>
        <v/>
      </c>
      <c r="H42" s="18"/>
      <c r="J42" s="41"/>
      <c r="K42" s="41"/>
      <c r="L42" s="41"/>
      <c r="M42" s="41"/>
    </row>
    <row r="43" spans="2:13" x14ac:dyDescent="0.2">
      <c r="B43" s="519" t="s">
        <v>40</v>
      </c>
      <c r="C43" s="14" t="s">
        <v>796</v>
      </c>
      <c r="D43" s="520" t="s">
        <v>181</v>
      </c>
      <c r="E43" s="15">
        <v>800</v>
      </c>
      <c r="F43" s="532"/>
      <c r="G43" s="25">
        <f t="shared" si="0"/>
        <v>0</v>
      </c>
      <c r="H43" s="18"/>
      <c r="J43" s="41"/>
      <c r="K43" s="41"/>
      <c r="L43" s="41"/>
      <c r="M43" s="41"/>
    </row>
    <row r="44" spans="2:13" x14ac:dyDescent="0.2">
      <c r="B44" s="519"/>
      <c r="C44" s="14"/>
      <c r="D44" s="520"/>
      <c r="E44" s="15"/>
      <c r="F44" s="56"/>
      <c r="G44" s="25" t="str">
        <f t="shared" si="0"/>
        <v/>
      </c>
      <c r="H44" s="18"/>
      <c r="J44" s="80"/>
      <c r="K44" s="80"/>
      <c r="L44" s="80"/>
      <c r="M44" s="80"/>
    </row>
    <row r="45" spans="2:13" s="30" customFormat="1" ht="25.5" x14ac:dyDescent="0.2">
      <c r="B45" s="521" t="s">
        <v>798</v>
      </c>
      <c r="C45" s="20" t="s">
        <v>799</v>
      </c>
      <c r="D45" s="522"/>
      <c r="E45" s="450"/>
      <c r="F45" s="523"/>
      <c r="G45" s="432" t="str">
        <f t="shared" si="0"/>
        <v/>
      </c>
      <c r="H45" s="452"/>
      <c r="J45" s="57"/>
      <c r="K45" s="57"/>
      <c r="L45" s="57"/>
      <c r="M45" s="57"/>
    </row>
    <row r="46" spans="2:13" x14ac:dyDescent="0.2">
      <c r="B46" s="519"/>
      <c r="C46" s="14"/>
      <c r="D46" s="520"/>
      <c r="E46" s="15"/>
      <c r="F46" s="56"/>
      <c r="G46" s="25" t="str">
        <f t="shared" si="0"/>
        <v/>
      </c>
      <c r="H46" s="18"/>
      <c r="J46" s="80"/>
      <c r="K46" s="80"/>
      <c r="L46" s="80"/>
      <c r="M46" s="80"/>
    </row>
    <row r="47" spans="2:13" ht="25.5" x14ac:dyDescent="0.2">
      <c r="B47" s="519" t="s">
        <v>800</v>
      </c>
      <c r="C47" s="14" t="s">
        <v>801</v>
      </c>
      <c r="D47" s="520"/>
      <c r="E47" s="15"/>
      <c r="F47" s="56"/>
      <c r="G47" s="25" t="str">
        <f t="shared" si="0"/>
        <v/>
      </c>
      <c r="H47" s="18"/>
      <c r="J47" s="80"/>
      <c r="K47" s="80"/>
      <c r="L47" s="80"/>
      <c r="M47" s="80"/>
    </row>
    <row r="48" spans="2:13" x14ac:dyDescent="0.2">
      <c r="B48" s="519"/>
      <c r="C48" s="14"/>
      <c r="D48" s="520"/>
      <c r="E48" s="15"/>
      <c r="F48" s="56"/>
      <c r="G48" s="25" t="str">
        <f t="shared" si="0"/>
        <v/>
      </c>
      <c r="H48" s="18"/>
      <c r="J48" s="80"/>
      <c r="K48" s="80"/>
      <c r="L48" s="80"/>
      <c r="M48" s="80"/>
    </row>
    <row r="49" spans="2:13" x14ac:dyDescent="0.2">
      <c r="B49" s="519"/>
      <c r="C49" s="14" t="s">
        <v>802</v>
      </c>
      <c r="D49" s="520" t="s">
        <v>181</v>
      </c>
      <c r="E49" s="15">
        <v>40</v>
      </c>
      <c r="F49" s="56"/>
      <c r="G49" s="25">
        <f t="shared" si="0"/>
        <v>0</v>
      </c>
      <c r="H49" s="18"/>
      <c r="J49" s="80"/>
      <c r="K49" s="80"/>
      <c r="L49" s="80"/>
      <c r="M49" s="80"/>
    </row>
    <row r="50" spans="2:13" x14ac:dyDescent="0.2">
      <c r="B50" s="519"/>
      <c r="C50" s="14"/>
      <c r="D50" s="520"/>
      <c r="E50" s="15"/>
      <c r="F50" s="56"/>
      <c r="G50" s="25" t="str">
        <f t="shared" si="0"/>
        <v/>
      </c>
      <c r="H50" s="18"/>
      <c r="J50" s="80"/>
      <c r="K50" s="80"/>
      <c r="L50" s="80"/>
      <c r="M50" s="80"/>
    </row>
    <row r="51" spans="2:13" x14ac:dyDescent="0.2">
      <c r="B51" s="519" t="s">
        <v>803</v>
      </c>
      <c r="C51" s="14" t="s">
        <v>804</v>
      </c>
      <c r="D51" s="520"/>
      <c r="E51" s="15"/>
      <c r="F51" s="56"/>
      <c r="G51" s="25" t="str">
        <f t="shared" si="0"/>
        <v/>
      </c>
      <c r="H51" s="18"/>
      <c r="J51" s="80"/>
      <c r="K51" s="80"/>
      <c r="L51" s="80"/>
      <c r="M51" s="80"/>
    </row>
    <row r="52" spans="2:13" x14ac:dyDescent="0.2">
      <c r="B52" s="519"/>
      <c r="C52" s="14"/>
      <c r="D52" s="520"/>
      <c r="E52" s="15"/>
      <c r="F52" s="56"/>
      <c r="G52" s="25" t="str">
        <f t="shared" si="0"/>
        <v/>
      </c>
      <c r="H52" s="18"/>
      <c r="J52" s="80"/>
      <c r="K52" s="80"/>
      <c r="L52" s="80"/>
      <c r="M52" s="80"/>
    </row>
    <row r="53" spans="2:13" x14ac:dyDescent="0.2">
      <c r="B53" s="519"/>
      <c r="C53" s="14"/>
      <c r="D53" s="520"/>
      <c r="E53" s="15"/>
      <c r="F53" s="56"/>
      <c r="G53" s="25" t="str">
        <f t="shared" si="0"/>
        <v/>
      </c>
      <c r="H53" s="18"/>
      <c r="J53" s="80"/>
      <c r="K53" s="80"/>
      <c r="L53" s="80"/>
      <c r="M53" s="80"/>
    </row>
    <row r="54" spans="2:13" x14ac:dyDescent="0.2">
      <c r="B54" s="519" t="s">
        <v>805</v>
      </c>
      <c r="C54" s="14" t="s">
        <v>806</v>
      </c>
      <c r="D54" s="520" t="s">
        <v>181</v>
      </c>
      <c r="E54" s="15">
        <v>40</v>
      </c>
      <c r="F54" s="56"/>
      <c r="G54" s="25">
        <f t="shared" si="0"/>
        <v>0</v>
      </c>
      <c r="H54" s="18"/>
      <c r="J54" s="80"/>
      <c r="K54" s="80"/>
      <c r="L54" s="80"/>
      <c r="M54" s="80"/>
    </row>
    <row r="55" spans="2:13" x14ac:dyDescent="0.2">
      <c r="B55" s="519"/>
      <c r="C55" s="14"/>
      <c r="D55" s="520"/>
      <c r="E55" s="15"/>
      <c r="F55" s="56"/>
      <c r="G55" s="25" t="str">
        <f t="shared" si="0"/>
        <v/>
      </c>
      <c r="H55" s="18"/>
      <c r="J55" s="80"/>
      <c r="K55" s="80"/>
      <c r="L55" s="80"/>
      <c r="M55" s="80"/>
    </row>
    <row r="56" spans="2:13" ht="25.5" x14ac:dyDescent="0.2">
      <c r="B56" s="519" t="s">
        <v>807</v>
      </c>
      <c r="C56" s="14" t="s">
        <v>808</v>
      </c>
      <c r="D56" s="520" t="s">
        <v>181</v>
      </c>
      <c r="E56" s="15">
        <v>40</v>
      </c>
      <c r="F56" s="56"/>
      <c r="G56" s="25">
        <f t="shared" si="0"/>
        <v>0</v>
      </c>
      <c r="H56" s="18"/>
      <c r="J56" s="80"/>
      <c r="K56" s="80"/>
      <c r="L56" s="80"/>
      <c r="M56" s="80"/>
    </row>
    <row r="57" spans="2:13" x14ac:dyDescent="0.2">
      <c r="B57" s="519"/>
      <c r="C57" s="14"/>
      <c r="D57" s="520"/>
      <c r="E57" s="15"/>
      <c r="F57" s="56"/>
      <c r="G57" s="25" t="str">
        <f t="shared" si="0"/>
        <v/>
      </c>
      <c r="H57" s="18"/>
      <c r="J57" s="80"/>
      <c r="K57" s="80"/>
      <c r="L57" s="80"/>
      <c r="M57" s="80"/>
    </row>
    <row r="58" spans="2:13" x14ac:dyDescent="0.2">
      <c r="B58" s="519"/>
      <c r="C58" s="14"/>
      <c r="D58" s="520"/>
      <c r="E58" s="15"/>
      <c r="F58" s="56"/>
      <c r="G58" s="25" t="str">
        <f t="shared" si="0"/>
        <v/>
      </c>
      <c r="H58" s="18"/>
      <c r="J58" s="80"/>
      <c r="K58" s="80"/>
      <c r="L58" s="80"/>
      <c r="M58" s="80"/>
    </row>
    <row r="59" spans="2:13" ht="25.5" x14ac:dyDescent="0.2">
      <c r="B59" s="519" t="s">
        <v>809</v>
      </c>
      <c r="C59" s="14" t="s">
        <v>810</v>
      </c>
      <c r="D59" s="520"/>
      <c r="E59" s="15"/>
      <c r="F59" s="56"/>
      <c r="G59" s="25" t="str">
        <f t="shared" si="0"/>
        <v/>
      </c>
      <c r="H59" s="18"/>
      <c r="J59" s="80"/>
      <c r="K59" s="80"/>
      <c r="L59" s="80"/>
      <c r="M59" s="80"/>
    </row>
    <row r="60" spans="2:13" x14ac:dyDescent="0.2">
      <c r="B60" s="519"/>
      <c r="C60" s="14"/>
      <c r="D60" s="520"/>
      <c r="E60" s="15"/>
      <c r="F60" s="56"/>
      <c r="G60" s="25" t="str">
        <f t="shared" si="0"/>
        <v/>
      </c>
      <c r="H60" s="18"/>
      <c r="J60" s="80"/>
      <c r="K60" s="80"/>
      <c r="L60" s="80"/>
      <c r="M60" s="80"/>
    </row>
    <row r="61" spans="2:13" ht="25.5" x14ac:dyDescent="0.2">
      <c r="B61" s="519" t="s">
        <v>811</v>
      </c>
      <c r="C61" s="14" t="s">
        <v>812</v>
      </c>
      <c r="D61" s="520" t="s">
        <v>181</v>
      </c>
      <c r="E61" s="15">
        <v>40</v>
      </c>
      <c r="F61" s="56"/>
      <c r="G61" s="25">
        <f t="shared" si="0"/>
        <v>0</v>
      </c>
      <c r="H61" s="18"/>
      <c r="J61" s="80"/>
      <c r="K61" s="80"/>
      <c r="L61" s="80"/>
      <c r="M61" s="80"/>
    </row>
    <row r="62" spans="2:13" x14ac:dyDescent="0.2">
      <c r="B62" s="519"/>
      <c r="C62" s="14"/>
      <c r="D62" s="520"/>
      <c r="E62" s="15"/>
      <c r="F62" s="56"/>
      <c r="G62" s="25" t="str">
        <f t="shared" si="0"/>
        <v/>
      </c>
      <c r="H62" s="18"/>
      <c r="J62" s="80"/>
      <c r="K62" s="80"/>
      <c r="L62" s="80"/>
      <c r="M62" s="80"/>
    </row>
    <row r="63" spans="2:13" ht="23.1" customHeight="1" x14ac:dyDescent="0.2">
      <c r="B63" s="519"/>
      <c r="C63" s="14"/>
      <c r="D63" s="520"/>
      <c r="E63" s="15"/>
      <c r="F63" s="56"/>
      <c r="G63" s="25" t="str">
        <f t="shared" si="0"/>
        <v/>
      </c>
      <c r="H63" s="18"/>
      <c r="J63" s="80"/>
      <c r="K63" s="80"/>
      <c r="L63" s="80"/>
      <c r="M63" s="80"/>
    </row>
    <row r="64" spans="2:13" x14ac:dyDescent="0.2">
      <c r="B64" s="519"/>
      <c r="C64" s="529"/>
      <c r="D64" s="520"/>
      <c r="E64" s="534"/>
      <c r="F64" s="56"/>
      <c r="G64" s="25"/>
      <c r="H64" s="18"/>
      <c r="J64" s="80"/>
      <c r="K64" s="80"/>
      <c r="L64" s="80"/>
      <c r="M64" s="80"/>
    </row>
    <row r="65" spans="2:13" s="30" customFormat="1" ht="24.95" customHeight="1" x14ac:dyDescent="0.2">
      <c r="B65" s="121" t="s">
        <v>132</v>
      </c>
      <c r="C65" s="32" t="s">
        <v>12</v>
      </c>
      <c r="D65" s="33"/>
      <c r="E65" s="34"/>
      <c r="F65" s="33"/>
      <c r="G65" s="518">
        <f>SUM(G11:H64)</f>
        <v>0</v>
      </c>
      <c r="H65" s="452"/>
      <c r="J65" s="57"/>
      <c r="K65" s="57"/>
      <c r="L65" s="57"/>
      <c r="M65" s="57"/>
    </row>
    <row r="66" spans="2:13" x14ac:dyDescent="0.2">
      <c r="B66" s="689" t="str">
        <f>Client1</f>
        <v>Province of KwaZulu-Natal</v>
      </c>
      <c r="C66" s="689"/>
      <c r="D66" s="689"/>
      <c r="E66" s="687" t="str">
        <f>"Contract No. "&amp;ContractNo</f>
        <v>Contract No. ZNB02287/00000/00/MET/INF/24/T</v>
      </c>
      <c r="F66" s="687"/>
      <c r="G66" s="687"/>
      <c r="H66" s="18"/>
      <c r="J66" s="80"/>
      <c r="K66" s="80"/>
      <c r="L66" s="80"/>
      <c r="M66" s="80"/>
    </row>
    <row r="67" spans="2:13" x14ac:dyDescent="0.2">
      <c r="B67" s="689" t="str">
        <f>Client2</f>
        <v>Department of Transport</v>
      </c>
      <c r="C67" s="689"/>
      <c r="D67" s="689"/>
      <c r="E67" s="687"/>
      <c r="F67" s="687"/>
      <c r="G67" s="687"/>
      <c r="H67" s="18"/>
      <c r="J67" s="80"/>
      <c r="K67" s="80"/>
      <c r="L67" s="80"/>
      <c r="M67" s="80"/>
    </row>
    <row r="68" spans="2:13" x14ac:dyDescent="0.2">
      <c r="B68" s="690"/>
      <c r="C68" s="690"/>
      <c r="D68" s="690"/>
      <c r="E68" s="688"/>
      <c r="F68" s="688"/>
      <c r="G68" s="688"/>
      <c r="H68" s="18"/>
      <c r="J68" s="80"/>
      <c r="K68" s="80"/>
      <c r="L68" s="80"/>
      <c r="M68" s="80"/>
    </row>
    <row r="69" spans="2:13" x14ac:dyDescent="0.2">
      <c r="B69" s="698" t="s">
        <v>8</v>
      </c>
      <c r="C69" s="699"/>
      <c r="D69" s="699"/>
      <c r="E69" s="699"/>
      <c r="F69" s="699"/>
      <c r="G69" s="700" t="str">
        <f>$G$5</f>
        <v>CHAPTER C3.1</v>
      </c>
      <c r="H69" s="18"/>
      <c r="J69" s="80"/>
      <c r="K69" s="80"/>
      <c r="L69" s="80"/>
      <c r="M69" s="80"/>
    </row>
    <row r="70" spans="2:13" x14ac:dyDescent="0.2">
      <c r="B70" s="691" t="str">
        <f>ContractDescription</f>
        <v>PROVISION OF ROUTINE AND SAFETY MAINTENANCE ON MIAN ROAD P3/1 (KM 69.00 TO KM 77.96), P3/2 (KM 0.00 TO KM 11.50), P21/2(KM 0.00 TO KM 29.83 IN THE ETHEKWINI METRO - DURBAN REGION</v>
      </c>
      <c r="C70" s="692"/>
      <c r="D70" s="692"/>
      <c r="E70" s="692"/>
      <c r="F70" s="692"/>
      <c r="G70" s="701"/>
      <c r="H70" s="18"/>
      <c r="J70" s="80"/>
      <c r="K70" s="80"/>
      <c r="L70" s="80"/>
      <c r="M70" s="80"/>
    </row>
    <row r="71" spans="2:13" x14ac:dyDescent="0.2">
      <c r="B71" s="691"/>
      <c r="C71" s="692"/>
      <c r="D71" s="692"/>
      <c r="E71" s="692"/>
      <c r="F71" s="692"/>
      <c r="G71" s="701"/>
      <c r="H71" s="18"/>
      <c r="J71" s="80"/>
      <c r="K71" s="80"/>
      <c r="L71" s="80"/>
      <c r="M71" s="80"/>
    </row>
    <row r="72" spans="2:13" x14ac:dyDescent="0.2">
      <c r="B72" s="693"/>
      <c r="C72" s="694"/>
      <c r="D72" s="694"/>
      <c r="E72" s="694"/>
      <c r="F72" s="694"/>
      <c r="G72" s="702"/>
      <c r="H72" s="18"/>
      <c r="J72" s="80"/>
      <c r="K72" s="80"/>
      <c r="L72" s="80"/>
      <c r="M72" s="80"/>
    </row>
    <row r="73" spans="2:13" x14ac:dyDescent="0.2">
      <c r="B73" s="68" t="s">
        <v>0</v>
      </c>
      <c r="C73" s="11" t="s">
        <v>1</v>
      </c>
      <c r="D73" s="11" t="s">
        <v>2</v>
      </c>
      <c r="E73" s="11" t="s">
        <v>3</v>
      </c>
      <c r="F73" s="11" t="s">
        <v>4</v>
      </c>
      <c r="G73" s="11" t="s">
        <v>5</v>
      </c>
      <c r="H73" s="18"/>
      <c r="J73" s="80"/>
      <c r="K73" s="80"/>
      <c r="L73" s="80"/>
      <c r="M73" s="80"/>
    </row>
    <row r="74" spans="2:13" ht="25.5" customHeight="1" x14ac:dyDescent="0.2">
      <c r="B74" s="74"/>
      <c r="C74" s="32" t="s">
        <v>26</v>
      </c>
      <c r="D74" s="74"/>
      <c r="E74" s="34"/>
      <c r="F74" s="74"/>
      <c r="G74" s="352">
        <f>G65</f>
        <v>0</v>
      </c>
      <c r="H74" s="18"/>
      <c r="J74" s="80"/>
      <c r="K74" s="80"/>
      <c r="L74" s="80"/>
      <c r="M74" s="80"/>
    </row>
    <row r="75" spans="2:13" x14ac:dyDescent="0.2">
      <c r="B75" s="519"/>
      <c r="C75" s="537"/>
      <c r="D75" s="15"/>
      <c r="E75" s="520"/>
      <c r="F75" s="16"/>
      <c r="G75" s="25"/>
      <c r="H75" s="18"/>
      <c r="J75" s="80"/>
      <c r="K75" s="80"/>
      <c r="L75" s="80"/>
      <c r="M75" s="80"/>
    </row>
    <row r="76" spans="2:13" ht="25.5" x14ac:dyDescent="0.2">
      <c r="B76" s="519" t="s">
        <v>813</v>
      </c>
      <c r="C76" s="527" t="s">
        <v>814</v>
      </c>
      <c r="D76" s="15"/>
      <c r="E76" s="520"/>
      <c r="F76" s="16"/>
      <c r="G76" s="25" t="str">
        <f t="shared" si="0"/>
        <v/>
      </c>
      <c r="H76" s="18"/>
      <c r="J76" s="80"/>
      <c r="K76" s="80"/>
      <c r="L76" s="80"/>
      <c r="M76" s="80"/>
    </row>
    <row r="77" spans="2:13" x14ac:dyDescent="0.2">
      <c r="B77" s="519"/>
      <c r="C77" s="527"/>
      <c r="D77" s="15"/>
      <c r="E77" s="520"/>
      <c r="F77" s="16"/>
      <c r="G77" s="25" t="str">
        <f t="shared" si="0"/>
        <v/>
      </c>
      <c r="H77" s="18"/>
      <c r="J77" s="80"/>
      <c r="K77" s="80"/>
      <c r="L77" s="80"/>
      <c r="M77" s="80"/>
    </row>
    <row r="78" spans="2:13" ht="25.5" x14ac:dyDescent="0.2">
      <c r="B78" s="519" t="s">
        <v>815</v>
      </c>
      <c r="C78" s="527" t="s">
        <v>816</v>
      </c>
      <c r="D78" s="15" t="s">
        <v>181</v>
      </c>
      <c r="E78" s="520">
        <v>40</v>
      </c>
      <c r="F78" s="16"/>
      <c r="G78" s="25">
        <f t="shared" si="0"/>
        <v>0</v>
      </c>
      <c r="H78" s="18"/>
      <c r="J78" s="80"/>
      <c r="K78" s="80"/>
      <c r="L78" s="80"/>
      <c r="M78" s="80"/>
    </row>
    <row r="79" spans="2:13" x14ac:dyDescent="0.2">
      <c r="B79" s="519"/>
      <c r="C79" s="527"/>
      <c r="D79" s="15"/>
      <c r="E79" s="520"/>
      <c r="F79" s="16"/>
      <c r="G79" s="25" t="str">
        <f t="shared" si="0"/>
        <v/>
      </c>
      <c r="H79" s="18"/>
      <c r="J79" s="80"/>
      <c r="K79" s="80"/>
      <c r="L79" s="80"/>
      <c r="M79" s="80"/>
    </row>
    <row r="80" spans="2:13" x14ac:dyDescent="0.2">
      <c r="B80" s="519" t="s">
        <v>817</v>
      </c>
      <c r="C80" s="527" t="s">
        <v>818</v>
      </c>
      <c r="D80" s="15"/>
      <c r="E80" s="520"/>
      <c r="F80" s="16"/>
      <c r="G80" s="25" t="str">
        <f t="shared" si="0"/>
        <v/>
      </c>
      <c r="H80" s="18"/>
      <c r="J80" s="80"/>
      <c r="K80" s="80"/>
      <c r="L80" s="80"/>
      <c r="M80" s="80"/>
    </row>
    <row r="81" spans="2:13" x14ac:dyDescent="0.2">
      <c r="B81" s="519"/>
      <c r="C81" s="527"/>
      <c r="D81" s="15"/>
      <c r="E81" s="520"/>
      <c r="F81" s="16"/>
      <c r="G81" s="25" t="str">
        <f t="shared" si="0"/>
        <v/>
      </c>
      <c r="H81" s="18"/>
      <c r="J81" s="80"/>
      <c r="K81" s="80"/>
      <c r="L81" s="80"/>
      <c r="M81" s="80"/>
    </row>
    <row r="82" spans="2:13" ht="25.5" x14ac:dyDescent="0.2">
      <c r="B82" s="519" t="s">
        <v>819</v>
      </c>
      <c r="C82" s="527" t="s">
        <v>820</v>
      </c>
      <c r="D82" s="15" t="s">
        <v>6</v>
      </c>
      <c r="E82" s="520">
        <v>40</v>
      </c>
      <c r="F82" s="16"/>
      <c r="G82" s="25">
        <f t="shared" si="0"/>
        <v>0</v>
      </c>
      <c r="H82" s="18"/>
      <c r="J82" s="80"/>
      <c r="K82" s="80"/>
      <c r="L82" s="80"/>
      <c r="M82" s="80"/>
    </row>
    <row r="83" spans="2:13" x14ac:dyDescent="0.2">
      <c r="B83" s="519"/>
      <c r="C83" s="527"/>
      <c r="D83" s="15"/>
      <c r="E83" s="520"/>
      <c r="F83" s="16"/>
      <c r="G83" s="25" t="str">
        <f t="shared" si="0"/>
        <v/>
      </c>
      <c r="H83" s="18"/>
      <c r="J83" s="80"/>
      <c r="K83" s="80"/>
      <c r="L83" s="80"/>
      <c r="M83" s="80"/>
    </row>
    <row r="84" spans="2:13" ht="14.25" x14ac:dyDescent="0.2">
      <c r="B84" s="519" t="s">
        <v>821</v>
      </c>
      <c r="C84" s="527" t="s">
        <v>822</v>
      </c>
      <c r="D84" s="22" t="s">
        <v>51</v>
      </c>
      <c r="E84" s="520">
        <v>80</v>
      </c>
      <c r="F84" s="16"/>
      <c r="G84" s="25">
        <f t="shared" si="0"/>
        <v>0</v>
      </c>
      <c r="H84" s="18"/>
      <c r="J84" s="80"/>
      <c r="K84" s="80"/>
      <c r="L84" s="80"/>
      <c r="M84" s="80"/>
    </row>
    <row r="85" spans="2:13" x14ac:dyDescent="0.2">
      <c r="B85" s="519"/>
      <c r="C85" s="527"/>
      <c r="D85" s="15"/>
      <c r="E85" s="520"/>
      <c r="F85" s="16"/>
      <c r="G85" s="25" t="str">
        <f t="shared" ref="G85:G110" si="1">IF(D85="","",E85*F85)</f>
        <v/>
      </c>
      <c r="H85" s="18"/>
      <c r="J85" s="80"/>
      <c r="K85" s="80"/>
      <c r="L85" s="80"/>
      <c r="M85" s="80"/>
    </row>
    <row r="86" spans="2:13" ht="38.25" x14ac:dyDescent="0.2">
      <c r="B86" s="519" t="s">
        <v>824</v>
      </c>
      <c r="C86" s="527" t="s">
        <v>825</v>
      </c>
      <c r="D86" s="15"/>
      <c r="E86" s="520"/>
      <c r="F86" s="16"/>
      <c r="G86" s="25" t="str">
        <f t="shared" si="1"/>
        <v/>
      </c>
      <c r="H86" s="18"/>
      <c r="J86" s="80"/>
      <c r="K86" s="80"/>
      <c r="L86" s="80"/>
      <c r="M86" s="80"/>
    </row>
    <row r="87" spans="2:13" x14ac:dyDescent="0.2">
      <c r="B87" s="519"/>
      <c r="C87" s="527"/>
      <c r="D87" s="15"/>
      <c r="E87" s="520"/>
      <c r="F87" s="16"/>
      <c r="G87" s="25" t="str">
        <f t="shared" si="1"/>
        <v/>
      </c>
      <c r="H87" s="18"/>
      <c r="J87" s="80"/>
      <c r="K87" s="80"/>
      <c r="L87" s="80"/>
      <c r="M87" s="80"/>
    </row>
    <row r="88" spans="2:13" ht="25.5" x14ac:dyDescent="0.2">
      <c r="B88" s="519" t="s">
        <v>826</v>
      </c>
      <c r="C88" s="527" t="s">
        <v>827</v>
      </c>
      <c r="D88" s="15" t="s">
        <v>33</v>
      </c>
      <c r="E88" s="520">
        <v>2</v>
      </c>
      <c r="F88" s="16"/>
      <c r="G88" s="25">
        <f t="shared" si="1"/>
        <v>0</v>
      </c>
      <c r="H88" s="18"/>
      <c r="J88" s="80"/>
      <c r="K88" s="80"/>
      <c r="L88" s="80"/>
      <c r="M88" s="80"/>
    </row>
    <row r="89" spans="2:13" x14ac:dyDescent="0.2">
      <c r="B89" s="519"/>
      <c r="C89" s="527"/>
      <c r="D89" s="15"/>
      <c r="E89" s="520"/>
      <c r="F89" s="16"/>
      <c r="G89" s="25" t="str">
        <f t="shared" si="1"/>
        <v/>
      </c>
      <c r="H89" s="18"/>
      <c r="J89" s="80"/>
      <c r="K89" s="80"/>
      <c r="L89" s="80"/>
      <c r="M89" s="80"/>
    </row>
    <row r="90" spans="2:13" ht="25.5" x14ac:dyDescent="0.2">
      <c r="B90" s="519" t="s">
        <v>828</v>
      </c>
      <c r="C90" s="527" t="s">
        <v>829</v>
      </c>
      <c r="D90" s="15" t="s">
        <v>33</v>
      </c>
      <c r="E90" s="520">
        <v>2</v>
      </c>
      <c r="F90" s="16"/>
      <c r="G90" s="25">
        <f t="shared" si="1"/>
        <v>0</v>
      </c>
      <c r="H90" s="18"/>
      <c r="J90" s="80"/>
      <c r="K90" s="80"/>
      <c r="L90" s="80"/>
      <c r="M90" s="80"/>
    </row>
    <row r="91" spans="2:13" x14ac:dyDescent="0.2">
      <c r="B91" s="519"/>
      <c r="C91" s="527"/>
      <c r="D91" s="15"/>
      <c r="E91" s="520"/>
      <c r="F91" s="16"/>
      <c r="G91" s="25" t="str">
        <f t="shared" si="1"/>
        <v/>
      </c>
      <c r="H91" s="18"/>
      <c r="J91" s="80"/>
      <c r="K91" s="80"/>
      <c r="L91" s="80"/>
      <c r="M91" s="80"/>
    </row>
    <row r="92" spans="2:13" ht="25.5" x14ac:dyDescent="0.2">
      <c r="B92" s="519" t="s">
        <v>830</v>
      </c>
      <c r="C92" s="527" t="s">
        <v>831</v>
      </c>
      <c r="D92" s="15" t="s">
        <v>33</v>
      </c>
      <c r="E92" s="520">
        <v>2</v>
      </c>
      <c r="F92" s="16"/>
      <c r="G92" s="25">
        <f t="shared" si="1"/>
        <v>0</v>
      </c>
      <c r="H92" s="18"/>
      <c r="J92" s="80"/>
      <c r="K92" s="80"/>
      <c r="L92" s="80"/>
      <c r="M92" s="80"/>
    </row>
    <row r="93" spans="2:13" x14ac:dyDescent="0.2">
      <c r="B93" s="519"/>
      <c r="C93" s="527"/>
      <c r="D93" s="15"/>
      <c r="E93" s="520"/>
      <c r="F93" s="16"/>
      <c r="G93" s="25" t="str">
        <f t="shared" si="1"/>
        <v/>
      </c>
      <c r="H93" s="18"/>
      <c r="J93" s="80"/>
      <c r="K93" s="80"/>
      <c r="L93" s="80"/>
      <c r="M93" s="80"/>
    </row>
    <row r="94" spans="2:13" ht="25.5" x14ac:dyDescent="0.2">
      <c r="B94" s="519" t="s">
        <v>832</v>
      </c>
      <c r="C94" s="527" t="s">
        <v>833</v>
      </c>
      <c r="D94" s="15" t="s">
        <v>33</v>
      </c>
      <c r="E94" s="520">
        <v>2</v>
      </c>
      <c r="F94" s="16"/>
      <c r="G94" s="25">
        <f t="shared" si="1"/>
        <v>0</v>
      </c>
      <c r="H94" s="18"/>
      <c r="J94" s="80"/>
      <c r="K94" s="80"/>
      <c r="L94" s="80"/>
      <c r="M94" s="80"/>
    </row>
    <row r="95" spans="2:13" x14ac:dyDescent="0.2">
      <c r="B95" s="519"/>
      <c r="C95" s="527"/>
      <c r="D95" s="15"/>
      <c r="E95" s="520"/>
      <c r="F95" s="16"/>
      <c r="G95" s="25" t="str">
        <f t="shared" si="1"/>
        <v/>
      </c>
      <c r="H95" s="18"/>
      <c r="J95" s="80"/>
      <c r="K95" s="80"/>
      <c r="L95" s="80"/>
      <c r="M95" s="80"/>
    </row>
    <row r="96" spans="2:13" x14ac:dyDescent="0.2">
      <c r="B96" s="519" t="s">
        <v>834</v>
      </c>
      <c r="C96" s="527" t="s">
        <v>835</v>
      </c>
      <c r="D96" s="15"/>
      <c r="E96" s="520"/>
      <c r="F96" s="16"/>
      <c r="G96" s="25" t="str">
        <f t="shared" si="1"/>
        <v/>
      </c>
      <c r="H96" s="18"/>
      <c r="J96" s="80"/>
      <c r="K96" s="80"/>
      <c r="L96" s="80"/>
      <c r="M96" s="80"/>
    </row>
    <row r="97" spans="2:13" x14ac:dyDescent="0.2">
      <c r="B97" s="519"/>
      <c r="C97" s="527"/>
      <c r="D97" s="15"/>
      <c r="E97" s="520"/>
      <c r="F97" s="16"/>
      <c r="G97" s="25" t="str">
        <f t="shared" si="1"/>
        <v/>
      </c>
      <c r="H97" s="18"/>
      <c r="J97" s="80"/>
      <c r="K97" s="80"/>
      <c r="L97" s="80"/>
      <c r="M97" s="80"/>
    </row>
    <row r="98" spans="2:13" x14ac:dyDescent="0.2">
      <c r="B98" s="535" t="s">
        <v>836</v>
      </c>
      <c r="C98" s="538" t="s">
        <v>837</v>
      </c>
      <c r="D98" s="39" t="s">
        <v>33</v>
      </c>
      <c r="E98" s="4">
        <v>1</v>
      </c>
      <c r="F98" s="46"/>
      <c r="G98" s="25">
        <f t="shared" si="1"/>
        <v>0</v>
      </c>
    </row>
    <row r="99" spans="2:13" x14ac:dyDescent="0.2">
      <c r="B99" s="519"/>
      <c r="C99" s="527"/>
      <c r="D99" s="15"/>
      <c r="E99" s="520"/>
      <c r="F99" s="16"/>
      <c r="G99" s="25" t="str">
        <f t="shared" si="1"/>
        <v/>
      </c>
      <c r="H99" s="18"/>
      <c r="J99" s="41"/>
      <c r="K99" s="41"/>
      <c r="L99" s="41"/>
      <c r="M99" s="41"/>
    </row>
    <row r="100" spans="2:13" ht="25.5" x14ac:dyDescent="0.2">
      <c r="B100" s="519" t="s">
        <v>125</v>
      </c>
      <c r="C100" s="527" t="s">
        <v>124</v>
      </c>
      <c r="D100" s="15" t="s">
        <v>838</v>
      </c>
      <c r="E100" s="520">
        <v>1</v>
      </c>
      <c r="F100" s="16"/>
      <c r="G100" s="25">
        <f t="shared" si="1"/>
        <v>0</v>
      </c>
      <c r="H100" s="18"/>
      <c r="J100" s="41"/>
      <c r="K100" s="41"/>
      <c r="L100" s="41"/>
      <c r="M100" s="41"/>
    </row>
    <row r="101" spans="2:13" x14ac:dyDescent="0.2">
      <c r="B101" s="519"/>
      <c r="C101" s="527"/>
      <c r="D101" s="15"/>
      <c r="E101" s="520"/>
      <c r="F101" s="16"/>
      <c r="G101" s="25" t="str">
        <f t="shared" si="1"/>
        <v/>
      </c>
      <c r="H101" s="18"/>
      <c r="J101" s="41"/>
      <c r="K101" s="41"/>
      <c r="L101" s="41"/>
      <c r="M101" s="41"/>
    </row>
    <row r="102" spans="2:13" x14ac:dyDescent="0.2">
      <c r="B102" s="519" t="s">
        <v>839</v>
      </c>
      <c r="C102" s="527" t="s">
        <v>840</v>
      </c>
      <c r="D102" s="15" t="s">
        <v>181</v>
      </c>
      <c r="E102" s="520">
        <v>520</v>
      </c>
      <c r="F102" s="16"/>
      <c r="G102" s="25">
        <f t="shared" si="1"/>
        <v>0</v>
      </c>
      <c r="H102" s="18"/>
      <c r="J102" s="41"/>
      <c r="K102" s="41"/>
      <c r="L102" s="41"/>
      <c r="M102" s="41"/>
    </row>
    <row r="103" spans="2:13" x14ac:dyDescent="0.2">
      <c r="B103" s="519"/>
      <c r="C103" s="527"/>
      <c r="D103" s="15"/>
      <c r="E103" s="520"/>
      <c r="F103" s="16"/>
      <c r="G103" s="25" t="str">
        <f t="shared" si="1"/>
        <v/>
      </c>
      <c r="H103" s="18"/>
      <c r="J103" s="41"/>
      <c r="K103" s="41"/>
      <c r="L103" s="41"/>
      <c r="M103" s="41"/>
    </row>
    <row r="104" spans="2:13" ht="38.25" x14ac:dyDescent="0.2">
      <c r="B104" s="519" t="s">
        <v>841</v>
      </c>
      <c r="C104" s="527" t="s">
        <v>842</v>
      </c>
      <c r="D104" s="15" t="s">
        <v>181</v>
      </c>
      <c r="E104" s="520">
        <v>80</v>
      </c>
      <c r="F104" s="16"/>
      <c r="G104" s="25">
        <f t="shared" si="1"/>
        <v>0</v>
      </c>
      <c r="H104" s="18"/>
      <c r="J104" s="41"/>
      <c r="K104" s="41"/>
      <c r="L104" s="41"/>
      <c r="M104" s="41"/>
    </row>
    <row r="105" spans="2:13" x14ac:dyDescent="0.2">
      <c r="B105" s="519"/>
      <c r="C105" s="527"/>
      <c r="D105" s="15"/>
      <c r="E105" s="520"/>
      <c r="F105" s="16"/>
      <c r="G105" s="25" t="str">
        <f t="shared" si="1"/>
        <v/>
      </c>
      <c r="H105" s="18"/>
      <c r="J105" s="41"/>
      <c r="K105" s="41"/>
      <c r="L105" s="41"/>
      <c r="M105" s="41"/>
    </row>
    <row r="106" spans="2:13" s="30" customFormat="1" x14ac:dyDescent="0.2">
      <c r="B106" s="521" t="s">
        <v>843</v>
      </c>
      <c r="C106" s="516" t="s">
        <v>844</v>
      </c>
      <c r="D106" s="450"/>
      <c r="E106" s="522"/>
      <c r="F106" s="431"/>
      <c r="G106" s="432" t="str">
        <f t="shared" si="1"/>
        <v/>
      </c>
      <c r="H106" s="452"/>
      <c r="J106" s="447"/>
      <c r="K106" s="447"/>
      <c r="L106" s="447"/>
      <c r="M106" s="447"/>
    </row>
    <row r="107" spans="2:13" x14ac:dyDescent="0.2">
      <c r="B107" s="519"/>
      <c r="C107" s="527"/>
      <c r="D107" s="15"/>
      <c r="E107" s="520"/>
      <c r="F107" s="16"/>
      <c r="G107" s="25" t="str">
        <f t="shared" si="1"/>
        <v/>
      </c>
      <c r="H107" s="18"/>
      <c r="J107" s="41"/>
      <c r="K107" s="41"/>
      <c r="L107" s="41"/>
      <c r="M107" s="41"/>
    </row>
    <row r="108" spans="2:13" x14ac:dyDescent="0.2">
      <c r="B108" s="519" t="s">
        <v>845</v>
      </c>
      <c r="C108" s="527" t="s">
        <v>846</v>
      </c>
      <c r="D108" s="15" t="s">
        <v>6</v>
      </c>
      <c r="E108" s="520">
        <v>50</v>
      </c>
      <c r="F108" s="16"/>
      <c r="G108" s="25">
        <f t="shared" si="1"/>
        <v>0</v>
      </c>
      <c r="H108" s="18"/>
      <c r="J108" s="41"/>
      <c r="K108" s="41"/>
      <c r="L108" s="41"/>
      <c r="M108" s="41"/>
    </row>
    <row r="109" spans="2:13" x14ac:dyDescent="0.2">
      <c r="B109" s="524"/>
      <c r="C109" s="527"/>
      <c r="D109" s="15"/>
      <c r="E109" s="520"/>
      <c r="F109" s="16"/>
      <c r="G109" s="25" t="str">
        <f t="shared" si="1"/>
        <v/>
      </c>
      <c r="H109" s="18"/>
      <c r="J109" s="41"/>
      <c r="K109" s="41"/>
      <c r="L109" s="41"/>
      <c r="M109" s="41"/>
    </row>
    <row r="110" spans="2:13" x14ac:dyDescent="0.2">
      <c r="B110" s="524" t="s">
        <v>847</v>
      </c>
      <c r="C110" s="527" t="s">
        <v>848</v>
      </c>
      <c r="D110" s="15" t="s">
        <v>6</v>
      </c>
      <c r="E110" s="520">
        <v>50</v>
      </c>
      <c r="F110" s="16"/>
      <c r="G110" s="25">
        <f t="shared" si="1"/>
        <v>0</v>
      </c>
      <c r="H110" s="18"/>
      <c r="J110" s="41"/>
      <c r="K110" s="41"/>
      <c r="L110" s="41"/>
      <c r="M110" s="41"/>
    </row>
    <row r="111" spans="2:13" x14ac:dyDescent="0.2">
      <c r="B111" s="524"/>
      <c r="C111" s="527"/>
      <c r="D111" s="22"/>
      <c r="E111" s="520"/>
      <c r="F111" s="16"/>
      <c r="G111" s="25"/>
      <c r="H111" s="18"/>
      <c r="J111" s="41"/>
      <c r="K111" s="41"/>
      <c r="L111" s="41"/>
      <c r="M111" s="41"/>
    </row>
    <row r="112" spans="2:13" x14ac:dyDescent="0.2">
      <c r="B112" s="524" t="s">
        <v>577</v>
      </c>
      <c r="C112" s="527" t="s">
        <v>578</v>
      </c>
      <c r="D112" s="15" t="s">
        <v>33</v>
      </c>
      <c r="E112" s="541">
        <v>20</v>
      </c>
      <c r="F112" s="16"/>
      <c r="G112" s="25">
        <f t="shared" ref="G112:G128" si="2">IF(D112="","",E112*F112)</f>
        <v>0</v>
      </c>
      <c r="H112" s="63"/>
      <c r="J112" s="41"/>
      <c r="K112" s="46" t="str">
        <f t="shared" ref="K112:K129" si="3">IF(J112="","",J112*E112)</f>
        <v/>
      </c>
      <c r="L112" s="41"/>
      <c r="M112" s="41"/>
    </row>
    <row r="113" spans="2:13" x14ac:dyDescent="0.2">
      <c r="B113" s="519"/>
      <c r="C113" s="538"/>
      <c r="D113" s="61"/>
      <c r="E113" s="541"/>
      <c r="F113" s="16"/>
      <c r="G113" s="25" t="str">
        <f t="shared" si="2"/>
        <v/>
      </c>
      <c r="H113" s="63"/>
      <c r="J113" s="41"/>
      <c r="K113" s="46" t="str">
        <f t="shared" si="3"/>
        <v/>
      </c>
      <c r="L113" s="41"/>
      <c r="M113" s="41"/>
    </row>
    <row r="114" spans="2:13" ht="25.5" x14ac:dyDescent="0.2">
      <c r="B114" s="524" t="s">
        <v>579</v>
      </c>
      <c r="C114" s="527" t="s">
        <v>580</v>
      </c>
      <c r="D114" s="22" t="s">
        <v>6</v>
      </c>
      <c r="E114" s="541">
        <v>40</v>
      </c>
      <c r="F114" s="16"/>
      <c r="G114" s="25">
        <f t="shared" si="2"/>
        <v>0</v>
      </c>
      <c r="H114" s="18"/>
      <c r="J114" s="41"/>
      <c r="K114" s="46" t="str">
        <f t="shared" si="3"/>
        <v/>
      </c>
      <c r="L114" s="41"/>
      <c r="M114" s="41"/>
    </row>
    <row r="115" spans="2:13" x14ac:dyDescent="0.2">
      <c r="B115" s="519"/>
      <c r="C115" s="527"/>
      <c r="D115" s="15"/>
      <c r="E115" s="541"/>
      <c r="F115" s="16"/>
      <c r="G115" s="25" t="str">
        <f t="shared" si="2"/>
        <v/>
      </c>
      <c r="H115" s="18"/>
      <c r="J115" s="41"/>
      <c r="K115" s="46" t="str">
        <f t="shared" si="3"/>
        <v/>
      </c>
      <c r="L115" s="41"/>
      <c r="M115" s="41"/>
    </row>
    <row r="116" spans="2:13" x14ac:dyDescent="0.2">
      <c r="B116" s="519"/>
      <c r="C116" s="527"/>
      <c r="D116" s="22"/>
      <c r="E116" s="541"/>
      <c r="F116" s="16"/>
      <c r="G116" s="25" t="str">
        <f t="shared" si="2"/>
        <v/>
      </c>
      <c r="H116" s="58"/>
      <c r="J116" s="41">
        <f>_Excavation</f>
        <v>0</v>
      </c>
      <c r="K116" s="46">
        <f t="shared" si="3"/>
        <v>0</v>
      </c>
      <c r="L116" s="41"/>
      <c r="M116" s="41"/>
    </row>
    <row r="117" spans="2:13" x14ac:dyDescent="0.2">
      <c r="B117" s="524"/>
      <c r="C117" s="527"/>
      <c r="D117" s="15"/>
      <c r="E117" s="541"/>
      <c r="F117" s="16"/>
      <c r="G117" s="25" t="str">
        <f t="shared" si="2"/>
        <v/>
      </c>
      <c r="H117" s="18"/>
      <c r="J117" s="41"/>
      <c r="K117" s="46" t="str">
        <f t="shared" si="3"/>
        <v/>
      </c>
      <c r="L117" s="41"/>
      <c r="M117" s="41"/>
    </row>
    <row r="118" spans="2:13" x14ac:dyDescent="0.2">
      <c r="B118" s="519"/>
      <c r="C118" s="527"/>
      <c r="D118" s="22"/>
      <c r="E118" s="541"/>
      <c r="F118" s="16"/>
      <c r="G118" s="25" t="str">
        <f t="shared" si="2"/>
        <v/>
      </c>
      <c r="H118" s="18"/>
      <c r="J118" s="41">
        <f>_Excavation</f>
        <v>0</v>
      </c>
      <c r="K118" s="46">
        <f t="shared" si="3"/>
        <v>0</v>
      </c>
      <c r="L118" s="41"/>
      <c r="M118" s="41"/>
    </row>
    <row r="119" spans="2:13" x14ac:dyDescent="0.2">
      <c r="B119" s="519"/>
      <c r="C119" s="527"/>
      <c r="D119" s="15"/>
      <c r="E119" s="541"/>
      <c r="F119" s="16"/>
      <c r="G119" s="25" t="str">
        <f t="shared" si="2"/>
        <v/>
      </c>
      <c r="H119" s="18"/>
      <c r="J119" s="41"/>
      <c r="K119" s="46" t="str">
        <f t="shared" si="3"/>
        <v/>
      </c>
      <c r="L119" s="41"/>
      <c r="M119" s="41"/>
    </row>
    <row r="120" spans="2:13" x14ac:dyDescent="0.2">
      <c r="B120" s="519"/>
      <c r="C120" s="527"/>
      <c r="D120" s="15"/>
      <c r="E120" s="541"/>
      <c r="F120" s="16"/>
      <c r="G120" s="25" t="str">
        <f t="shared" si="2"/>
        <v/>
      </c>
      <c r="H120" s="18"/>
      <c r="J120" s="41"/>
      <c r="K120" s="46" t="str">
        <f t="shared" si="3"/>
        <v/>
      </c>
      <c r="L120" s="41"/>
      <c r="M120" s="41"/>
    </row>
    <row r="121" spans="2:13" x14ac:dyDescent="0.2">
      <c r="B121" s="519"/>
      <c r="C121" s="527"/>
      <c r="D121" s="15"/>
      <c r="E121" s="541"/>
      <c r="F121" s="16"/>
      <c r="G121" s="25" t="str">
        <f t="shared" si="2"/>
        <v/>
      </c>
      <c r="H121" s="18"/>
      <c r="J121" s="41"/>
      <c r="K121" s="46" t="str">
        <f t="shared" si="3"/>
        <v/>
      </c>
      <c r="L121" s="41"/>
      <c r="M121" s="41"/>
    </row>
    <row r="122" spans="2:13" x14ac:dyDescent="0.2">
      <c r="B122" s="524"/>
      <c r="C122" s="527"/>
      <c r="D122" s="22"/>
      <c r="E122" s="541"/>
      <c r="F122" s="16"/>
      <c r="G122" s="25" t="str">
        <f t="shared" si="2"/>
        <v/>
      </c>
      <c r="H122" s="58"/>
      <c r="J122" s="41"/>
      <c r="K122" s="46" t="str">
        <f t="shared" si="3"/>
        <v/>
      </c>
      <c r="L122" s="41"/>
      <c r="M122" s="41"/>
    </row>
    <row r="123" spans="2:13" x14ac:dyDescent="0.2">
      <c r="B123" s="519"/>
      <c r="C123" s="527"/>
      <c r="D123" s="15"/>
      <c r="E123" s="520"/>
      <c r="F123" s="16"/>
      <c r="G123" s="25" t="str">
        <f t="shared" si="2"/>
        <v/>
      </c>
      <c r="J123" s="41"/>
      <c r="K123" s="46" t="str">
        <f t="shared" si="3"/>
        <v/>
      </c>
      <c r="L123" s="41"/>
      <c r="M123" s="41"/>
    </row>
    <row r="124" spans="2:13" x14ac:dyDescent="0.2">
      <c r="B124" s="519"/>
      <c r="C124" s="527"/>
      <c r="D124" s="15"/>
      <c r="E124" s="520"/>
      <c r="F124" s="16"/>
      <c r="G124" s="25" t="str">
        <f t="shared" si="2"/>
        <v/>
      </c>
      <c r="J124" s="41"/>
      <c r="K124" s="46" t="str">
        <f t="shared" si="3"/>
        <v/>
      </c>
      <c r="L124" s="41"/>
      <c r="M124" s="41"/>
    </row>
    <row r="125" spans="2:13" x14ac:dyDescent="0.2">
      <c r="B125" s="519"/>
      <c r="C125" s="527"/>
      <c r="D125" s="22"/>
      <c r="E125" s="520"/>
      <c r="F125" s="16"/>
      <c r="G125" s="25" t="str">
        <f t="shared" si="2"/>
        <v/>
      </c>
      <c r="J125" s="41">
        <f>_Backfill</f>
        <v>0</v>
      </c>
      <c r="K125" s="46">
        <f t="shared" si="3"/>
        <v>0</v>
      </c>
      <c r="L125" s="41"/>
      <c r="M125" s="41"/>
    </row>
    <row r="126" spans="2:13" x14ac:dyDescent="0.2">
      <c r="B126" s="519"/>
      <c r="C126" s="538"/>
      <c r="D126" s="61"/>
      <c r="E126" s="542"/>
      <c r="F126" s="16"/>
      <c r="G126" s="25" t="str">
        <f t="shared" si="2"/>
        <v/>
      </c>
      <c r="J126" s="41"/>
      <c r="K126" s="46" t="str">
        <f t="shared" si="3"/>
        <v/>
      </c>
      <c r="L126" s="41"/>
      <c r="M126" s="41"/>
    </row>
    <row r="127" spans="2:13" x14ac:dyDescent="0.2">
      <c r="B127" s="519"/>
      <c r="C127" s="539"/>
      <c r="D127" s="22"/>
      <c r="E127" s="520"/>
      <c r="F127" s="16"/>
      <c r="G127" s="25" t="str">
        <f t="shared" si="2"/>
        <v/>
      </c>
      <c r="J127" s="41">
        <f>_Backfill</f>
        <v>0</v>
      </c>
      <c r="K127" s="46">
        <f t="shared" si="3"/>
        <v>0</v>
      </c>
      <c r="L127" s="41"/>
      <c r="M127" s="41"/>
    </row>
    <row r="128" spans="2:13" x14ac:dyDescent="0.2">
      <c r="B128" s="519"/>
      <c r="C128" s="540"/>
      <c r="D128" s="534"/>
      <c r="E128" s="541"/>
      <c r="F128" s="536"/>
      <c r="G128" s="25" t="str">
        <f t="shared" si="2"/>
        <v/>
      </c>
      <c r="J128" s="41"/>
      <c r="K128" s="46" t="str">
        <f t="shared" si="3"/>
        <v/>
      </c>
      <c r="L128" s="41"/>
      <c r="M128" s="41"/>
    </row>
    <row r="129" spans="2:13" s="30" customFormat="1" ht="19.5" customHeight="1" x14ac:dyDescent="0.2">
      <c r="B129" s="121" t="str">
        <f>$B$11</f>
        <v>C3.1</v>
      </c>
      <c r="C129" s="32" t="str">
        <f>"TOTAL CARRIED FORWARD"&amp;IF(G129=G$1," TO SUMMARY (Page C"&amp;Page_A&amp;")","")</f>
        <v>TOTAL CARRIED FORWARD TO SUMMARY (Page C49)</v>
      </c>
      <c r="D129" s="33"/>
      <c r="E129" s="34"/>
      <c r="F129" s="33"/>
      <c r="G129" s="352">
        <f>SUM(G74:G128)</f>
        <v>0</v>
      </c>
      <c r="H129" s="36"/>
      <c r="J129" s="41"/>
      <c r="K129" s="46" t="str">
        <f t="shared" si="3"/>
        <v/>
      </c>
      <c r="L129" s="41"/>
      <c r="M129" s="41"/>
    </row>
  </sheetData>
  <mergeCells count="11">
    <mergeCell ref="B69:F69"/>
    <mergeCell ref="G69:G72"/>
    <mergeCell ref="B70:F72"/>
    <mergeCell ref="E2:G2"/>
    <mergeCell ref="B5:F5"/>
    <mergeCell ref="G5:G8"/>
    <mergeCell ref="B6:F8"/>
    <mergeCell ref="B66:D66"/>
    <mergeCell ref="E66:G68"/>
    <mergeCell ref="B67:D67"/>
    <mergeCell ref="B68:D68"/>
  </mergeCells>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colBreaks count="1" manualBreakCount="1">
    <brk id="7" min="1" max="128" man="1"/>
  </colBreaks>
  <extLst>
    <ext xmlns:x14="http://schemas.microsoft.com/office/spreadsheetml/2009/9/main" uri="{78C0D931-6437-407d-A8EE-F0AAD7539E65}">
      <x14:conditionalFormattings>
        <x14:conditionalFormatting xmlns:xm="http://schemas.microsoft.com/office/excel/2006/main">
          <x14:cfRule type="expression" priority="4" id="{E818D58A-DDCA-41A9-BCE3-F44E16F0F78E}">
            <xm:f>AND(Information!$C$8=FALSE,$D10&lt;&gt;"P C Sum",$D10&lt;&gt;"PC Sum",$D10&lt;&gt;"P Sum",$D10&lt;&gt;"Prov Sum")</xm:f>
            <x14:dxf>
              <font>
                <strike val="0"/>
                <color theme="0"/>
              </font>
              <numFmt numFmtId="4" formatCode="#,##0.00"/>
            </x14:dxf>
          </x14:cfRule>
          <xm:sqref>G129 F10:G15 F16:F19 F111:G128 F22:G64 F75:F97 F99:F110 G75:G110</xm:sqref>
        </x14:conditionalFormatting>
        <x14:conditionalFormatting xmlns:xm="http://schemas.microsoft.com/office/excel/2006/main">
          <x14:cfRule type="expression" priority="3" id="{B2A00DD6-4825-4B29-82C9-5A43A645C7CB}">
            <xm:f>AND(Information!$C$8=FALSE,$D16&lt;&gt;"P C Sum",$D16&lt;&gt;"PC Sum",$D16&lt;&gt;"P Sum",$D16&lt;&gt;"Prov Sum")</xm:f>
            <x14:dxf>
              <font>
                <strike val="0"/>
                <color theme="0"/>
              </font>
              <numFmt numFmtId="4" formatCode="#,##0.00"/>
            </x14:dxf>
          </x14:cfRule>
          <xm:sqref>F20:F21 G16:G21</xm:sqref>
        </x14:conditionalFormatting>
        <x14:conditionalFormatting xmlns:xm="http://schemas.microsoft.com/office/excel/2006/main">
          <x14:cfRule type="expression" priority="2" id="{4D01277B-A1A5-48CB-8601-8D18CCAD9E8C}">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1" id="{95FC0D29-0367-41A5-94DE-3D80618D9281}">
            <xm:f>AND(Information!$C$8=FALSE,$D74&lt;&gt;"P C Sum",$D74&lt;&gt;"PC Sum",$D74&lt;&gt;"P Sum",$D74&lt;&gt;"Prov Sum")</xm:f>
            <x14:dxf>
              <font>
                <strike val="0"/>
                <color theme="0"/>
              </font>
              <numFmt numFmtId="4" formatCode="#,##0.00"/>
            </x14:dxf>
          </x14:cfRule>
          <xm:sqref>G74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145B-93D1-496D-AD17-911F2DAF8256}">
  <sheetPr>
    <tabColor theme="9" tint="0.79998168889431442"/>
  </sheetPr>
  <dimension ref="A1:M169"/>
  <sheetViews>
    <sheetView view="pageBreakPreview" topLeftCell="A102" zoomScaleNormal="100" zoomScaleSheetLayoutView="100" workbookViewId="0">
      <selection activeCell="F75" sqref="F75:F115"/>
    </sheetView>
  </sheetViews>
  <sheetFormatPr defaultColWidth="6.85546875" defaultRowHeight="12.75" x14ac:dyDescent="0.2"/>
  <cols>
    <col min="1" max="1" width="0.85546875" style="38" customWidth="1"/>
    <col min="2" max="2" width="11.5703125" style="38" customWidth="1"/>
    <col min="3" max="3" width="45.5703125" style="38" customWidth="1"/>
    <col min="4" max="4" width="13.5703125" style="38" customWidth="1"/>
    <col min="5" max="7" width="15.5703125" style="38" customWidth="1"/>
    <col min="8" max="8" width="0.85546875" style="38" customWidth="1"/>
    <col min="9" max="9" width="6.85546875" style="38"/>
    <col min="10" max="10" width="8" style="38" bestFit="1" customWidth="1"/>
    <col min="11" max="11" width="11.85546875" style="38" bestFit="1" customWidth="1"/>
    <col min="12" max="16384" width="6.85546875" style="38"/>
  </cols>
  <sheetData>
    <row r="1" spans="1:13" x14ac:dyDescent="0.2">
      <c r="G1" s="166">
        <f>MAX(G9:G547)</f>
        <v>0</v>
      </c>
    </row>
    <row r="2" spans="1:13" x14ac:dyDescent="0.2">
      <c r="A2" s="1"/>
      <c r="B2" s="2" t="str">
        <f>Client1</f>
        <v>Province of KwaZulu-Natal</v>
      </c>
      <c r="C2" s="3"/>
      <c r="D2" s="4"/>
      <c r="E2" s="703" t="str">
        <f>"Contract No. "&amp;ContractNo</f>
        <v>Contract No. ZNB02287/00000/00/MET/INF/24/T</v>
      </c>
      <c r="F2" s="703"/>
      <c r="G2" s="703"/>
      <c r="H2" s="5"/>
      <c r="I2" s="1"/>
      <c r="J2" s="340"/>
      <c r="K2" s="340" t="e">
        <f>MAX(K3:K292)</f>
        <v>#NAME?</v>
      </c>
      <c r="L2" s="293"/>
      <c r="M2" s="294"/>
    </row>
    <row r="3" spans="1:13" x14ac:dyDescent="0.2">
      <c r="A3" s="1"/>
      <c r="B3" s="81" t="str">
        <f>Client2</f>
        <v>Department of Transport</v>
      </c>
      <c r="C3" s="3"/>
      <c r="D3" s="4"/>
      <c r="E3" s="4"/>
      <c r="F3" s="1"/>
      <c r="G3" s="5"/>
      <c r="H3" s="5"/>
      <c r="I3" s="1"/>
      <c r="J3" s="38" t="s">
        <v>470</v>
      </c>
      <c r="K3" s="38" t="s">
        <v>471</v>
      </c>
      <c r="L3" s="1" t="s">
        <v>472</v>
      </c>
      <c r="M3" s="1" t="s">
        <v>473</v>
      </c>
    </row>
    <row r="4" spans="1:13" x14ac:dyDescent="0.2">
      <c r="A4" s="1"/>
      <c r="B4" s="71"/>
      <c r="C4" s="71"/>
      <c r="D4" s="72"/>
      <c r="E4" s="72"/>
      <c r="F4" s="73"/>
      <c r="G4" s="82"/>
      <c r="H4" s="5"/>
      <c r="I4" s="1"/>
      <c r="J4" s="341"/>
      <c r="K4" s="341"/>
      <c r="L4" s="73"/>
      <c r="M4" s="73"/>
    </row>
    <row r="5" spans="1:13" x14ac:dyDescent="0.2">
      <c r="A5" s="1"/>
      <c r="B5" s="698" t="s">
        <v>8</v>
      </c>
      <c r="C5" s="699"/>
      <c r="D5" s="699"/>
      <c r="E5" s="699"/>
      <c r="F5" s="699"/>
      <c r="G5" s="695" t="str">
        <f>"CHAPTER "&amp;B11</f>
        <v>CHAPTER C3.3</v>
      </c>
      <c r="H5" s="6"/>
      <c r="I5" s="1"/>
      <c r="L5" s="1"/>
      <c r="M5" s="1"/>
    </row>
    <row r="6" spans="1:13" ht="7.5" customHeight="1" x14ac:dyDescent="0.2">
      <c r="A6" s="1"/>
      <c r="B6" s="691" t="str">
        <f>ContractDescription</f>
        <v>PROVISION OF ROUTINE AND SAFETY MAINTENANCE ON MIAN ROAD P3/1 (KM 69.00 TO KM 77.96), P3/2 (KM 0.00 TO KM 11.50), P21/2(KM 0.00 TO KM 29.83 IN THE ETHEKWINI METRO - DURBAN REGION</v>
      </c>
      <c r="C6" s="692"/>
      <c r="D6" s="692"/>
      <c r="E6" s="692"/>
      <c r="F6" s="692"/>
      <c r="G6" s="696"/>
      <c r="H6" s="8"/>
      <c r="I6" s="1"/>
      <c r="L6" s="1"/>
      <c r="M6" s="1"/>
    </row>
    <row r="7" spans="1:13" ht="12.75" customHeight="1" x14ac:dyDescent="0.2">
      <c r="A7" s="1"/>
      <c r="B7" s="691"/>
      <c r="C7" s="692"/>
      <c r="D7" s="692"/>
      <c r="E7" s="692"/>
      <c r="F7" s="692"/>
      <c r="G7" s="696"/>
      <c r="H7" s="8"/>
      <c r="I7" s="1"/>
      <c r="L7" s="1"/>
      <c r="M7" s="1"/>
    </row>
    <row r="8" spans="1:13" ht="7.5" customHeight="1" x14ac:dyDescent="0.2">
      <c r="A8" s="1"/>
      <c r="B8" s="693"/>
      <c r="C8" s="694"/>
      <c r="D8" s="694"/>
      <c r="E8" s="694"/>
      <c r="F8" s="694"/>
      <c r="G8" s="697"/>
      <c r="H8" s="8"/>
      <c r="I8" s="1"/>
      <c r="L8" s="1"/>
      <c r="M8" s="1"/>
    </row>
    <row r="9" spans="1:13" ht="24.95" customHeight="1" x14ac:dyDescent="0.2">
      <c r="A9" s="9"/>
      <c r="B9" s="10" t="s">
        <v>0</v>
      </c>
      <c r="C9" s="11" t="s">
        <v>1</v>
      </c>
      <c r="D9" s="11" t="s">
        <v>2</v>
      </c>
      <c r="E9" s="11" t="s">
        <v>3</v>
      </c>
      <c r="F9" s="11" t="s">
        <v>4</v>
      </c>
      <c r="G9" s="11" t="s">
        <v>5</v>
      </c>
      <c r="H9" s="12"/>
      <c r="I9" s="9"/>
      <c r="J9" s="342"/>
      <c r="K9" s="342"/>
      <c r="L9" s="11"/>
      <c r="M9" s="11"/>
    </row>
    <row r="10" spans="1:13" x14ac:dyDescent="0.2">
      <c r="A10" s="1"/>
      <c r="B10" s="51"/>
      <c r="C10" s="14"/>
      <c r="D10" s="15"/>
      <c r="E10" s="15"/>
      <c r="F10" s="16"/>
      <c r="G10" s="25" t="str">
        <f t="shared" ref="G10:G57" si="0">IF(D10="","",E10*F10)</f>
        <v/>
      </c>
      <c r="H10" s="18"/>
      <c r="I10" s="1"/>
      <c r="J10" s="16"/>
      <c r="K10" s="16"/>
      <c r="L10" s="16"/>
      <c r="M10" s="16"/>
    </row>
    <row r="11" spans="1:13" ht="51" x14ac:dyDescent="0.2">
      <c r="A11" s="1"/>
      <c r="B11" s="67" t="s">
        <v>123</v>
      </c>
      <c r="C11" s="20" t="s">
        <v>122</v>
      </c>
      <c r="D11" s="15"/>
      <c r="E11" s="15"/>
      <c r="F11" s="16"/>
      <c r="G11" s="25" t="str">
        <f t="shared" si="0"/>
        <v/>
      </c>
      <c r="H11" s="18"/>
      <c r="I11" s="1"/>
      <c r="J11" s="16"/>
      <c r="K11" s="16"/>
      <c r="L11" s="41"/>
      <c r="M11" s="41"/>
    </row>
    <row r="12" spans="1:13" x14ac:dyDescent="0.2">
      <c r="A12" s="1"/>
      <c r="B12" s="51"/>
      <c r="C12" s="14"/>
      <c r="D12" s="15"/>
      <c r="E12" s="15"/>
      <c r="F12" s="16"/>
      <c r="G12" s="25" t="str">
        <f t="shared" si="0"/>
        <v/>
      </c>
      <c r="H12" s="18"/>
      <c r="I12" s="1"/>
      <c r="J12" s="16"/>
      <c r="K12" s="16"/>
      <c r="L12" s="41"/>
      <c r="M12" s="41"/>
    </row>
    <row r="13" spans="1:13" s="343" customFormat="1" x14ac:dyDescent="0.2">
      <c r="A13" s="30"/>
      <c r="B13" s="449" t="s">
        <v>121</v>
      </c>
      <c r="C13" s="20" t="s">
        <v>120</v>
      </c>
      <c r="D13" s="450"/>
      <c r="E13" s="450"/>
      <c r="F13" s="431"/>
      <c r="G13" s="432" t="str">
        <f t="shared" si="0"/>
        <v/>
      </c>
      <c r="H13" s="452"/>
      <c r="I13" s="30"/>
      <c r="J13" s="453"/>
      <c r="K13" s="454" t="str">
        <f t="shared" ref="K13:K39" si="1">IF(J13="","",J13*E13)</f>
        <v/>
      </c>
      <c r="L13" s="455"/>
      <c r="M13" s="455"/>
    </row>
    <row r="14" spans="1:13" x14ac:dyDescent="0.2">
      <c r="A14" s="1"/>
      <c r="B14" s="59"/>
      <c r="C14" s="14"/>
      <c r="D14" s="15"/>
      <c r="E14" s="15"/>
      <c r="F14" s="16"/>
      <c r="G14" s="25" t="str">
        <f t="shared" si="0"/>
        <v/>
      </c>
      <c r="H14" s="18"/>
      <c r="I14" s="1"/>
      <c r="J14" s="16"/>
      <c r="K14" s="62" t="str">
        <f t="shared" si="1"/>
        <v/>
      </c>
      <c r="L14" s="41"/>
      <c r="M14" s="41"/>
    </row>
    <row r="15" spans="1:13" x14ac:dyDescent="0.2">
      <c r="A15" s="1"/>
      <c r="B15" s="51" t="s">
        <v>119</v>
      </c>
      <c r="C15" s="14" t="s">
        <v>401</v>
      </c>
      <c r="D15" s="22"/>
      <c r="E15" s="23"/>
      <c r="F15" s="16"/>
      <c r="G15" s="25" t="str">
        <f t="shared" si="0"/>
        <v/>
      </c>
      <c r="H15" s="58"/>
      <c r="I15" s="1"/>
      <c r="J15" s="16"/>
      <c r="K15" s="62" t="str">
        <f t="shared" si="1"/>
        <v/>
      </c>
      <c r="L15" s="41"/>
      <c r="M15" s="41"/>
    </row>
    <row r="16" spans="1:13" x14ac:dyDescent="0.2">
      <c r="A16" s="1"/>
      <c r="B16" s="59"/>
      <c r="C16" s="14"/>
      <c r="D16" s="15"/>
      <c r="E16" s="26"/>
      <c r="F16" s="16"/>
      <c r="G16" s="25" t="str">
        <f t="shared" si="0"/>
        <v/>
      </c>
      <c r="H16" s="18"/>
      <c r="I16" s="1"/>
      <c r="J16" s="16"/>
      <c r="K16" s="62" t="str">
        <f t="shared" si="1"/>
        <v/>
      </c>
      <c r="L16" s="41"/>
      <c r="M16" s="41"/>
    </row>
    <row r="17" spans="1:13" ht="25.5" x14ac:dyDescent="0.2">
      <c r="A17" s="1"/>
      <c r="B17" s="59" t="s">
        <v>34</v>
      </c>
      <c r="C17" s="14" t="s">
        <v>882</v>
      </c>
      <c r="D17" s="15" t="s">
        <v>6</v>
      </c>
      <c r="E17" s="26">
        <v>600</v>
      </c>
      <c r="F17" s="16"/>
      <c r="G17" s="25">
        <f t="shared" si="0"/>
        <v>0</v>
      </c>
      <c r="H17" s="18"/>
      <c r="I17" s="1"/>
      <c r="J17" s="344">
        <f>_Kerb</f>
        <v>0</v>
      </c>
      <c r="K17" s="62">
        <f t="shared" si="1"/>
        <v>0</v>
      </c>
      <c r="L17" s="41"/>
      <c r="M17" s="41"/>
    </row>
    <row r="18" spans="1:13" x14ac:dyDescent="0.2">
      <c r="A18" s="1"/>
      <c r="B18" s="59"/>
      <c r="C18" s="14"/>
      <c r="D18" s="15"/>
      <c r="E18" s="26"/>
      <c r="F18" s="16"/>
      <c r="G18" s="25"/>
      <c r="H18" s="18"/>
      <c r="I18" s="1"/>
      <c r="J18" s="344"/>
      <c r="K18" s="62"/>
      <c r="L18" s="41"/>
      <c r="M18" s="41"/>
    </row>
    <row r="19" spans="1:13" ht="25.5" x14ac:dyDescent="0.2">
      <c r="A19" s="1"/>
      <c r="B19" s="59" t="s">
        <v>35</v>
      </c>
      <c r="C19" s="14" t="s">
        <v>881</v>
      </c>
      <c r="D19" s="15" t="s">
        <v>6</v>
      </c>
      <c r="E19" s="26">
        <v>160</v>
      </c>
      <c r="F19" s="16"/>
      <c r="G19" s="25">
        <f t="shared" ref="G19" si="2">IF(D19="","",E19*F19)</f>
        <v>0</v>
      </c>
      <c r="H19" s="18"/>
      <c r="I19" s="1"/>
      <c r="J19" s="344">
        <f>_Kerb</f>
        <v>0</v>
      </c>
      <c r="K19" s="62">
        <f t="shared" ref="K19" si="3">IF(J19="","",J19*E19)</f>
        <v>0</v>
      </c>
      <c r="L19" s="41"/>
      <c r="M19" s="41"/>
    </row>
    <row r="20" spans="1:13" x14ac:dyDescent="0.2">
      <c r="A20" s="1"/>
      <c r="B20" s="59"/>
      <c r="C20" s="27"/>
      <c r="D20" s="61"/>
      <c r="E20" s="26"/>
      <c r="F20" s="16"/>
      <c r="G20" s="25" t="str">
        <f t="shared" si="0"/>
        <v/>
      </c>
      <c r="H20" s="63"/>
      <c r="I20" s="1"/>
      <c r="J20" s="16"/>
      <c r="K20" s="62" t="str">
        <f t="shared" si="1"/>
        <v/>
      </c>
      <c r="L20" s="41"/>
      <c r="M20" s="41"/>
    </row>
    <row r="21" spans="1:13" s="343" customFormat="1" x14ac:dyDescent="0.2">
      <c r="A21" s="30"/>
      <c r="B21" s="449" t="s">
        <v>118</v>
      </c>
      <c r="C21" s="20" t="s">
        <v>117</v>
      </c>
      <c r="D21" s="450"/>
      <c r="E21" s="451"/>
      <c r="F21" s="431"/>
      <c r="G21" s="432" t="str">
        <f t="shared" si="0"/>
        <v/>
      </c>
      <c r="H21" s="460"/>
      <c r="I21" s="30"/>
      <c r="J21" s="431"/>
      <c r="K21" s="454" t="str">
        <f t="shared" si="1"/>
        <v/>
      </c>
      <c r="L21" s="447"/>
      <c r="M21" s="447"/>
    </row>
    <row r="22" spans="1:13" x14ac:dyDescent="0.2">
      <c r="A22" s="1"/>
      <c r="B22" s="59"/>
      <c r="C22" s="14"/>
      <c r="D22" s="15"/>
      <c r="E22" s="26"/>
      <c r="F22" s="16"/>
      <c r="G22" s="25" t="str">
        <f t="shared" si="0"/>
        <v/>
      </c>
      <c r="H22" s="18"/>
      <c r="I22" s="1"/>
      <c r="J22" s="16"/>
      <c r="K22" s="62" t="str">
        <f t="shared" si="1"/>
        <v/>
      </c>
      <c r="L22" s="41"/>
      <c r="M22" s="41"/>
    </row>
    <row r="23" spans="1:13" x14ac:dyDescent="0.2">
      <c r="A23" s="1"/>
      <c r="B23" s="59" t="s">
        <v>116</v>
      </c>
      <c r="C23" s="14" t="s">
        <v>402</v>
      </c>
      <c r="D23" s="15"/>
      <c r="E23" s="26"/>
      <c r="F23" s="16"/>
      <c r="G23" s="25" t="str">
        <f t="shared" si="0"/>
        <v/>
      </c>
      <c r="H23" s="18"/>
      <c r="I23" s="1"/>
      <c r="J23" s="16"/>
      <c r="K23" s="62" t="str">
        <f t="shared" si="1"/>
        <v/>
      </c>
      <c r="L23" s="41"/>
      <c r="M23" s="41"/>
    </row>
    <row r="24" spans="1:13" x14ac:dyDescent="0.2">
      <c r="A24" s="1"/>
      <c r="B24" s="59"/>
      <c r="C24" s="14"/>
      <c r="D24" s="15"/>
      <c r="E24" s="26"/>
      <c r="F24" s="16"/>
      <c r="G24" s="25" t="str">
        <f t="shared" si="0"/>
        <v/>
      </c>
      <c r="H24" s="18"/>
      <c r="I24" s="1"/>
      <c r="J24" s="16"/>
      <c r="K24" s="62" t="str">
        <f t="shared" si="1"/>
        <v/>
      </c>
      <c r="L24" s="41"/>
      <c r="M24" s="41"/>
    </row>
    <row r="25" spans="1:13" ht="38.25" x14ac:dyDescent="0.2">
      <c r="A25" s="1"/>
      <c r="B25" s="59" t="s">
        <v>34</v>
      </c>
      <c r="C25" s="461" t="s">
        <v>879</v>
      </c>
      <c r="D25" s="15" t="s">
        <v>6</v>
      </c>
      <c r="E25" s="26">
        <v>400</v>
      </c>
      <c r="F25" s="16"/>
      <c r="G25" s="17">
        <f t="shared" si="0"/>
        <v>0</v>
      </c>
      <c r="H25" s="18"/>
      <c r="I25" s="1"/>
      <c r="J25" s="344" t="e">
        <f>_KandC+10</f>
        <v>#NAME?</v>
      </c>
      <c r="K25" s="62" t="e">
        <f t="shared" si="1"/>
        <v>#NAME?</v>
      </c>
      <c r="L25" s="41"/>
      <c r="M25" s="41"/>
    </row>
    <row r="26" spans="1:13" x14ac:dyDescent="0.2">
      <c r="A26" s="1"/>
      <c r="B26" s="59"/>
      <c r="C26" s="461"/>
      <c r="D26" s="15"/>
      <c r="E26" s="26"/>
      <c r="F26" s="16"/>
      <c r="G26" s="25"/>
      <c r="H26" s="18"/>
      <c r="I26" s="1"/>
      <c r="J26" s="344"/>
      <c r="K26" s="62"/>
      <c r="L26" s="41"/>
      <c r="M26" s="41"/>
    </row>
    <row r="27" spans="1:13" ht="38.25" x14ac:dyDescent="0.2">
      <c r="A27" s="1"/>
      <c r="B27" s="59" t="s">
        <v>35</v>
      </c>
      <c r="C27" s="461" t="s">
        <v>880</v>
      </c>
      <c r="D27" s="15" t="s">
        <v>6</v>
      </c>
      <c r="E27" s="26">
        <v>100</v>
      </c>
      <c r="F27" s="16"/>
      <c r="G27" s="17">
        <f t="shared" ref="G27:G33" si="4">IF(D27="","",E27*F27)</f>
        <v>0</v>
      </c>
      <c r="H27" s="18"/>
      <c r="I27" s="1"/>
      <c r="J27" s="344" t="e">
        <f>_KandC+10</f>
        <v>#NAME?</v>
      </c>
      <c r="K27" s="62" t="e">
        <f t="shared" ref="K27" si="5">IF(J27="","",J27*E27)</f>
        <v>#NAME?</v>
      </c>
      <c r="L27" s="41"/>
      <c r="M27" s="41"/>
    </row>
    <row r="28" spans="1:13" x14ac:dyDescent="0.2">
      <c r="A28" s="1"/>
      <c r="B28" s="59"/>
      <c r="C28" s="461"/>
      <c r="D28" s="15"/>
      <c r="E28" s="26"/>
      <c r="F28" s="16"/>
      <c r="G28" s="17" t="str">
        <f t="shared" si="4"/>
        <v/>
      </c>
      <c r="H28" s="18"/>
      <c r="I28" s="1"/>
      <c r="J28" s="344"/>
      <c r="K28" s="62"/>
      <c r="L28" s="41"/>
      <c r="M28" s="41"/>
    </row>
    <row r="29" spans="1:13" x14ac:dyDescent="0.2">
      <c r="A29" s="1"/>
      <c r="B29" s="59" t="s">
        <v>883</v>
      </c>
      <c r="C29" s="461" t="s">
        <v>884</v>
      </c>
      <c r="D29" s="15"/>
      <c r="E29" s="26"/>
      <c r="F29" s="16"/>
      <c r="G29" s="17" t="str">
        <f t="shared" si="4"/>
        <v/>
      </c>
      <c r="H29" s="18"/>
      <c r="I29" s="1"/>
      <c r="J29" s="344"/>
      <c r="K29" s="62"/>
      <c r="L29" s="41"/>
      <c r="M29" s="41"/>
    </row>
    <row r="30" spans="1:13" x14ac:dyDescent="0.2">
      <c r="A30" s="1"/>
      <c r="B30" s="59"/>
      <c r="C30" s="461"/>
      <c r="D30" s="15"/>
      <c r="E30" s="26"/>
      <c r="F30" s="16"/>
      <c r="G30" s="17" t="str">
        <f t="shared" si="4"/>
        <v/>
      </c>
      <c r="H30" s="18"/>
      <c r="I30" s="1"/>
      <c r="J30" s="344"/>
      <c r="K30" s="62"/>
      <c r="L30" s="41"/>
      <c r="M30" s="41"/>
    </row>
    <row r="31" spans="1:13" ht="38.25" x14ac:dyDescent="0.2">
      <c r="A31" s="1"/>
      <c r="B31" s="59"/>
      <c r="C31" s="461" t="s">
        <v>877</v>
      </c>
      <c r="D31" s="15" t="s">
        <v>6</v>
      </c>
      <c r="E31" s="26">
        <v>20</v>
      </c>
      <c r="F31" s="16"/>
      <c r="G31" s="17">
        <f t="shared" si="4"/>
        <v>0</v>
      </c>
      <c r="H31" s="18"/>
      <c r="I31" s="1"/>
      <c r="J31" s="344"/>
      <c r="K31" s="62"/>
      <c r="L31" s="41"/>
      <c r="M31" s="41"/>
    </row>
    <row r="32" spans="1:13" x14ac:dyDescent="0.2">
      <c r="A32" s="1"/>
      <c r="B32" s="59"/>
      <c r="C32" s="461"/>
      <c r="D32" s="15"/>
      <c r="E32" s="26"/>
      <c r="F32" s="16"/>
      <c r="G32" s="17" t="str">
        <f t="shared" si="4"/>
        <v/>
      </c>
      <c r="H32" s="18"/>
      <c r="I32" s="1"/>
      <c r="J32" s="344"/>
      <c r="K32" s="62"/>
      <c r="L32" s="41"/>
      <c r="M32" s="41"/>
    </row>
    <row r="33" spans="1:13" ht="38.25" x14ac:dyDescent="0.2">
      <c r="A33" s="1"/>
      <c r="B33" s="59"/>
      <c r="C33" s="461" t="s">
        <v>878</v>
      </c>
      <c r="D33" s="15" t="s">
        <v>6</v>
      </c>
      <c r="E33" s="26">
        <v>20</v>
      </c>
      <c r="F33" s="16"/>
      <c r="G33" s="17">
        <f t="shared" si="4"/>
        <v>0</v>
      </c>
      <c r="H33" s="18"/>
      <c r="I33" s="1"/>
      <c r="J33" s="344"/>
      <c r="K33" s="62"/>
      <c r="L33" s="41"/>
      <c r="M33" s="41"/>
    </row>
    <row r="34" spans="1:13" x14ac:dyDescent="0.2">
      <c r="A34" s="1"/>
      <c r="B34" s="59"/>
      <c r="C34" s="14"/>
      <c r="D34" s="15"/>
      <c r="E34" s="26"/>
      <c r="F34" s="16"/>
      <c r="G34" s="17" t="str">
        <f t="shared" si="0"/>
        <v/>
      </c>
      <c r="H34" s="18"/>
      <c r="I34" s="1"/>
      <c r="J34" s="16"/>
      <c r="K34" s="62" t="str">
        <f t="shared" si="1"/>
        <v/>
      </c>
      <c r="L34" s="41"/>
      <c r="M34" s="41"/>
    </row>
    <row r="35" spans="1:13" ht="38.25" x14ac:dyDescent="0.2">
      <c r="A35" s="1"/>
      <c r="B35" s="59" t="s">
        <v>115</v>
      </c>
      <c r="C35" s="14" t="s">
        <v>114</v>
      </c>
      <c r="D35" s="15"/>
      <c r="E35" s="15"/>
      <c r="F35" s="16"/>
      <c r="G35" s="17" t="str">
        <f t="shared" si="0"/>
        <v/>
      </c>
      <c r="H35" s="18"/>
      <c r="I35" s="1"/>
      <c r="J35" s="16"/>
      <c r="K35" s="62" t="str">
        <f t="shared" si="1"/>
        <v/>
      </c>
      <c r="L35" s="41"/>
      <c r="M35" s="41"/>
    </row>
    <row r="36" spans="1:13" x14ac:dyDescent="0.2">
      <c r="A36" s="1"/>
      <c r="B36" s="59"/>
      <c r="C36" s="14"/>
      <c r="D36" s="15"/>
      <c r="E36" s="15"/>
      <c r="F36" s="16"/>
      <c r="G36" s="17" t="str">
        <f t="shared" si="0"/>
        <v/>
      </c>
      <c r="H36" s="18"/>
      <c r="I36" s="1"/>
      <c r="J36" s="16"/>
      <c r="K36" s="62" t="str">
        <f t="shared" si="1"/>
        <v/>
      </c>
      <c r="L36" s="41"/>
      <c r="M36" s="41"/>
    </row>
    <row r="37" spans="1:13" ht="25.5" x14ac:dyDescent="0.2">
      <c r="A37" s="1"/>
      <c r="B37" s="59" t="s">
        <v>113</v>
      </c>
      <c r="C37" s="14" t="s">
        <v>112</v>
      </c>
      <c r="D37" s="15" t="s">
        <v>6</v>
      </c>
      <c r="E37" s="15">
        <v>20</v>
      </c>
      <c r="F37" s="16"/>
      <c r="G37" s="17">
        <f t="shared" si="0"/>
        <v>0</v>
      </c>
      <c r="H37" s="18"/>
      <c r="I37" s="1"/>
      <c r="J37" s="344" t="e">
        <f>_KandC+10</f>
        <v>#NAME?</v>
      </c>
      <c r="K37" s="62" t="e">
        <f t="shared" si="1"/>
        <v>#NAME?</v>
      </c>
      <c r="L37" s="41"/>
      <c r="M37" s="41"/>
    </row>
    <row r="38" spans="1:13" x14ac:dyDescent="0.2">
      <c r="A38" s="1"/>
      <c r="B38" s="59"/>
      <c r="C38" s="14"/>
      <c r="D38" s="61"/>
      <c r="E38" s="15"/>
      <c r="F38" s="16"/>
      <c r="G38" s="17" t="str">
        <f t="shared" si="0"/>
        <v/>
      </c>
      <c r="H38" s="18"/>
      <c r="I38" s="1"/>
      <c r="J38" s="16"/>
      <c r="K38" s="62" t="str">
        <f t="shared" si="1"/>
        <v/>
      </c>
      <c r="L38" s="41"/>
      <c r="M38" s="41"/>
    </row>
    <row r="39" spans="1:13" ht="25.5" x14ac:dyDescent="0.2">
      <c r="A39" s="1"/>
      <c r="B39" s="59" t="s">
        <v>111</v>
      </c>
      <c r="C39" s="28" t="s">
        <v>110</v>
      </c>
      <c r="D39" s="61" t="s">
        <v>6</v>
      </c>
      <c r="E39" s="61">
        <v>20</v>
      </c>
      <c r="F39" s="16"/>
      <c r="G39" s="17">
        <f t="shared" si="0"/>
        <v>0</v>
      </c>
      <c r="H39" s="63"/>
      <c r="I39" s="1"/>
      <c r="J39" s="344" t="e">
        <f>_KandC+10</f>
        <v>#NAME?</v>
      </c>
      <c r="K39" s="62" t="e">
        <f t="shared" si="1"/>
        <v>#NAME?</v>
      </c>
      <c r="L39" s="41"/>
      <c r="M39" s="41"/>
    </row>
    <row r="40" spans="1:13" x14ac:dyDescent="0.2">
      <c r="A40" s="1"/>
      <c r="B40" s="59"/>
      <c r="C40" s="120"/>
      <c r="D40" s="61"/>
      <c r="E40" s="61"/>
      <c r="F40" s="16"/>
      <c r="G40" s="17" t="str">
        <f t="shared" si="0"/>
        <v/>
      </c>
      <c r="H40" s="63"/>
      <c r="I40" s="1"/>
      <c r="J40" s="344"/>
      <c r="K40" s="62"/>
      <c r="L40" s="41"/>
      <c r="M40" s="41"/>
    </row>
    <row r="41" spans="1:13" x14ac:dyDescent="0.2">
      <c r="A41" s="1"/>
      <c r="B41" s="619" t="s">
        <v>886</v>
      </c>
      <c r="C41" s="465" t="s">
        <v>887</v>
      </c>
      <c r="D41" s="478" t="s">
        <v>6</v>
      </c>
      <c r="E41" s="482">
        <v>10</v>
      </c>
      <c r="F41" s="1"/>
      <c r="G41" s="17">
        <f t="shared" si="0"/>
        <v>0</v>
      </c>
      <c r="H41" s="63"/>
      <c r="I41" s="1"/>
      <c r="J41" s="344"/>
      <c r="K41" s="62"/>
      <c r="L41" s="41"/>
      <c r="M41" s="41"/>
    </row>
    <row r="42" spans="1:13" x14ac:dyDescent="0.2">
      <c r="A42" s="1"/>
      <c r="B42" s="619"/>
      <c r="C42" s="465"/>
      <c r="D42" s="478"/>
      <c r="E42" s="482"/>
      <c r="F42" s="1"/>
      <c r="G42" s="17" t="str">
        <f t="shared" si="0"/>
        <v/>
      </c>
      <c r="H42" s="63"/>
      <c r="I42" s="1"/>
      <c r="J42" s="344"/>
      <c r="K42" s="62"/>
      <c r="L42" s="41"/>
      <c r="M42" s="41"/>
    </row>
    <row r="43" spans="1:13" x14ac:dyDescent="0.2">
      <c r="A43" s="1"/>
      <c r="B43" s="619" t="s">
        <v>888</v>
      </c>
      <c r="C43" s="465" t="s">
        <v>889</v>
      </c>
      <c r="D43" s="478"/>
      <c r="E43" s="482"/>
      <c r="F43" s="1"/>
      <c r="G43" s="17" t="str">
        <f t="shared" si="0"/>
        <v/>
      </c>
      <c r="H43" s="63"/>
      <c r="I43" s="1"/>
      <c r="J43" s="344"/>
      <c r="K43" s="62"/>
      <c r="L43" s="41"/>
      <c r="M43" s="41"/>
    </row>
    <row r="44" spans="1:13" x14ac:dyDescent="0.2">
      <c r="A44" s="1"/>
      <c r="B44" s="619"/>
      <c r="C44" s="465"/>
      <c r="D44" s="478"/>
      <c r="E44" s="482"/>
      <c r="F44" s="1"/>
      <c r="G44" s="17" t="str">
        <f t="shared" si="0"/>
        <v/>
      </c>
      <c r="H44" s="63"/>
      <c r="I44" s="1"/>
      <c r="J44" s="344"/>
      <c r="K44" s="62"/>
      <c r="L44" s="41"/>
      <c r="M44" s="41"/>
    </row>
    <row r="45" spans="1:13" x14ac:dyDescent="0.2">
      <c r="A45" s="1"/>
      <c r="B45" s="620" t="s">
        <v>890</v>
      </c>
      <c r="C45" s="464" t="s">
        <v>891</v>
      </c>
      <c r="D45" s="479" t="s">
        <v>6</v>
      </c>
      <c r="E45" s="482">
        <v>40</v>
      </c>
      <c r="F45" s="1"/>
      <c r="G45" s="17">
        <f t="shared" si="0"/>
        <v>0</v>
      </c>
      <c r="H45" s="63"/>
      <c r="I45" s="1"/>
      <c r="J45" s="344"/>
      <c r="K45" s="62"/>
      <c r="L45" s="41"/>
      <c r="M45" s="41"/>
    </row>
    <row r="46" spans="1:13" x14ac:dyDescent="0.2">
      <c r="A46" s="1"/>
      <c r="B46" s="619"/>
      <c r="C46" s="465"/>
      <c r="D46" s="479"/>
      <c r="E46" s="482"/>
      <c r="F46" s="70"/>
      <c r="G46" s="17" t="str">
        <f t="shared" si="0"/>
        <v/>
      </c>
      <c r="H46" s="63"/>
      <c r="I46" s="1"/>
      <c r="J46" s="344"/>
      <c r="K46" s="62"/>
      <c r="L46" s="41"/>
      <c r="M46" s="41"/>
    </row>
    <row r="47" spans="1:13" x14ac:dyDescent="0.2">
      <c r="A47" s="1"/>
      <c r="B47" s="620" t="s">
        <v>892</v>
      </c>
      <c r="C47" s="464" t="s">
        <v>893</v>
      </c>
      <c r="D47" s="479" t="s">
        <v>6</v>
      </c>
      <c r="E47" s="482">
        <v>40</v>
      </c>
      <c r="F47" s="1"/>
      <c r="G47" s="17">
        <f t="shared" si="0"/>
        <v>0</v>
      </c>
      <c r="H47" s="63"/>
      <c r="I47" s="1"/>
      <c r="J47" s="344"/>
      <c r="K47" s="62"/>
      <c r="L47" s="41"/>
      <c r="M47" s="41"/>
    </row>
    <row r="48" spans="1:13" x14ac:dyDescent="0.2">
      <c r="A48" s="1"/>
      <c r="B48" s="619"/>
      <c r="C48" s="465"/>
      <c r="D48" s="478"/>
      <c r="E48" s="482"/>
      <c r="F48" s="70"/>
      <c r="G48" s="17" t="str">
        <f t="shared" si="0"/>
        <v/>
      </c>
      <c r="H48" s="63"/>
      <c r="I48" s="1"/>
      <c r="J48" s="344"/>
      <c r="K48" s="62"/>
      <c r="L48" s="41"/>
      <c r="M48" s="41"/>
    </row>
    <row r="49" spans="1:13" ht="14.25" x14ac:dyDescent="0.2">
      <c r="A49" s="1"/>
      <c r="B49" s="620" t="s">
        <v>894</v>
      </c>
      <c r="C49" s="464" t="s">
        <v>895</v>
      </c>
      <c r="D49" s="480" t="s">
        <v>51</v>
      </c>
      <c r="E49" s="482">
        <v>8</v>
      </c>
      <c r="F49" s="1"/>
      <c r="G49" s="17">
        <f t="shared" si="0"/>
        <v>0</v>
      </c>
      <c r="H49" s="63"/>
      <c r="I49" s="1"/>
      <c r="J49" s="344"/>
      <c r="K49" s="62"/>
      <c r="L49" s="41"/>
      <c r="M49" s="41"/>
    </row>
    <row r="50" spans="1:13" x14ac:dyDescent="0.2">
      <c r="A50" s="1"/>
      <c r="B50" s="59"/>
      <c r="C50" s="120"/>
      <c r="D50" s="61"/>
      <c r="E50" s="61"/>
      <c r="F50" s="16"/>
      <c r="G50" s="17" t="str">
        <f t="shared" si="0"/>
        <v/>
      </c>
      <c r="H50" s="63"/>
      <c r="I50" s="1"/>
      <c r="J50" s="344"/>
      <c r="K50" s="62"/>
      <c r="L50" s="41"/>
      <c r="M50" s="41"/>
    </row>
    <row r="51" spans="1:13" x14ac:dyDescent="0.2">
      <c r="A51" s="1"/>
      <c r="B51" s="449" t="s">
        <v>896</v>
      </c>
      <c r="C51" s="501" t="s">
        <v>897</v>
      </c>
      <c r="D51" s="61"/>
      <c r="E51" s="61"/>
      <c r="F51" s="16"/>
      <c r="G51" s="17" t="str">
        <f t="shared" si="0"/>
        <v/>
      </c>
      <c r="H51" s="63"/>
      <c r="I51" s="1"/>
      <c r="J51" s="344"/>
      <c r="K51" s="62"/>
      <c r="L51" s="41"/>
      <c r="M51" s="41"/>
    </row>
    <row r="52" spans="1:13" x14ac:dyDescent="0.2">
      <c r="A52" s="1"/>
      <c r="B52" s="59"/>
      <c r="C52" s="120"/>
      <c r="D52" s="61"/>
      <c r="E52" s="61"/>
      <c r="F52" s="16"/>
      <c r="G52" s="17" t="str">
        <f t="shared" si="0"/>
        <v/>
      </c>
      <c r="H52" s="63"/>
      <c r="I52" s="1"/>
      <c r="J52" s="344"/>
      <c r="K52" s="62"/>
      <c r="L52" s="41"/>
      <c r="M52" s="41"/>
    </row>
    <row r="53" spans="1:13" x14ac:dyDescent="0.2">
      <c r="A53" s="1"/>
      <c r="B53" s="59" t="s">
        <v>898</v>
      </c>
      <c r="C53" s="120" t="s">
        <v>899</v>
      </c>
      <c r="D53" s="61" t="s">
        <v>6</v>
      </c>
      <c r="E53" s="61">
        <v>160</v>
      </c>
      <c r="F53" s="16"/>
      <c r="G53" s="17">
        <f t="shared" si="0"/>
        <v>0</v>
      </c>
      <c r="H53" s="63"/>
      <c r="I53" s="1"/>
      <c r="J53" s="344"/>
      <c r="K53" s="62"/>
      <c r="L53" s="41"/>
      <c r="M53" s="41"/>
    </row>
    <row r="54" spans="1:13" x14ac:dyDescent="0.2">
      <c r="A54" s="1"/>
      <c r="B54" s="59"/>
      <c r="C54" s="120"/>
      <c r="D54" s="61"/>
      <c r="E54" s="61"/>
      <c r="F54" s="16"/>
      <c r="G54" s="17" t="str">
        <f t="shared" si="0"/>
        <v/>
      </c>
      <c r="H54" s="63"/>
      <c r="I54" s="1"/>
      <c r="J54" s="344"/>
      <c r="K54" s="62"/>
      <c r="L54" s="41"/>
      <c r="M54" s="41"/>
    </row>
    <row r="55" spans="1:13" ht="25.5" x14ac:dyDescent="0.2">
      <c r="A55" s="1"/>
      <c r="B55" s="59" t="s">
        <v>900</v>
      </c>
      <c r="C55" s="120" t="s">
        <v>901</v>
      </c>
      <c r="D55" s="61" t="s">
        <v>6</v>
      </c>
      <c r="E55" s="61">
        <v>100</v>
      </c>
      <c r="F55" s="16"/>
      <c r="G55" s="17">
        <f t="shared" si="0"/>
        <v>0</v>
      </c>
      <c r="H55" s="63"/>
      <c r="I55" s="1"/>
      <c r="J55" s="344"/>
      <c r="K55" s="62"/>
      <c r="L55" s="41"/>
      <c r="M55" s="41"/>
    </row>
    <row r="56" spans="1:13" x14ac:dyDescent="0.2">
      <c r="A56" s="1"/>
      <c r="B56" s="59"/>
      <c r="C56" s="120"/>
      <c r="D56" s="61"/>
      <c r="E56" s="61"/>
      <c r="F56" s="16"/>
      <c r="G56" s="25" t="str">
        <f t="shared" si="0"/>
        <v/>
      </c>
      <c r="H56" s="63"/>
      <c r="I56" s="1"/>
      <c r="J56" s="344"/>
      <c r="K56" s="62"/>
      <c r="L56" s="41"/>
      <c r="M56" s="41"/>
    </row>
    <row r="57" spans="1:13" ht="25.5" x14ac:dyDescent="0.2">
      <c r="A57" s="1"/>
      <c r="B57" s="59" t="s">
        <v>902</v>
      </c>
      <c r="C57" s="120" t="s">
        <v>903</v>
      </c>
      <c r="D57" s="61" t="s">
        <v>6</v>
      </c>
      <c r="E57" s="61">
        <v>80</v>
      </c>
      <c r="F57" s="16"/>
      <c r="G57" s="17">
        <f t="shared" si="0"/>
        <v>0</v>
      </c>
      <c r="H57" s="63"/>
      <c r="I57" s="1"/>
      <c r="J57" s="344"/>
      <c r="K57" s="62"/>
      <c r="L57" s="41"/>
      <c r="M57" s="41"/>
    </row>
    <row r="58" spans="1:13" x14ac:dyDescent="0.2">
      <c r="A58" s="1"/>
      <c r="B58" s="59"/>
      <c r="C58" s="120"/>
      <c r="D58" s="61"/>
      <c r="E58" s="61"/>
      <c r="F58" s="16"/>
      <c r="G58" s="25"/>
      <c r="H58" s="63"/>
      <c r="I58" s="1"/>
      <c r="J58" s="344"/>
      <c r="K58" s="62"/>
      <c r="L58" s="41"/>
      <c r="M58" s="41"/>
    </row>
    <row r="59" spans="1:13" x14ac:dyDescent="0.2">
      <c r="A59" s="1"/>
      <c r="B59" s="59"/>
      <c r="C59" s="120"/>
      <c r="D59" s="61"/>
      <c r="E59" s="61"/>
      <c r="F59" s="16"/>
      <c r="G59" s="25"/>
      <c r="H59" s="63"/>
      <c r="I59" s="1"/>
      <c r="J59" s="344"/>
      <c r="K59" s="62"/>
      <c r="L59" s="41"/>
      <c r="M59" s="41"/>
    </row>
    <row r="60" spans="1:13" x14ac:dyDescent="0.2">
      <c r="A60" s="1"/>
      <c r="B60" s="59"/>
      <c r="C60" s="120"/>
      <c r="D60" s="61"/>
      <c r="E60" s="61"/>
      <c r="F60" s="16"/>
      <c r="G60" s="25"/>
      <c r="H60" s="63"/>
      <c r="I60" s="1"/>
      <c r="J60" s="344"/>
      <c r="K60" s="62"/>
      <c r="L60" s="41"/>
      <c r="M60" s="41"/>
    </row>
    <row r="61" spans="1:13" s="30" customFormat="1" ht="26.1" customHeight="1" x14ac:dyDescent="0.2">
      <c r="B61" s="121" t="str">
        <f>$B$11</f>
        <v>C3.3</v>
      </c>
      <c r="C61" s="32" t="str">
        <f>"TOTAL CARRIED FORWARD"&amp;IF(G61=G$1," TO SUMMARY (Page C"&amp;Page_A&amp;")","")</f>
        <v>TOTAL CARRIED FORWARD TO SUMMARY (Page C49)</v>
      </c>
      <c r="D61" s="33"/>
      <c r="E61" s="34"/>
      <c r="F61" s="33"/>
      <c r="G61" s="352">
        <f>SUM(G10:G60)</f>
        <v>0</v>
      </c>
      <c r="H61" s="36"/>
      <c r="J61" s="16"/>
      <c r="K61" s="62" t="str">
        <f t="shared" ref="K61" si="6">IF(J61="","",J61*E61)</f>
        <v/>
      </c>
      <c r="L61" s="41"/>
      <c r="M61" s="41"/>
    </row>
    <row r="62" spans="1:13" s="30" customFormat="1" ht="11.45" customHeight="1" x14ac:dyDescent="0.2">
      <c r="B62" s="462"/>
      <c r="D62" s="463"/>
      <c r="E62" s="257"/>
      <c r="F62" s="463"/>
      <c r="G62" s="42"/>
      <c r="H62" s="36"/>
      <c r="J62" s="56"/>
      <c r="K62" s="38"/>
      <c r="L62" s="80"/>
      <c r="M62" s="80"/>
    </row>
    <row r="63" spans="1:13" s="30" customFormat="1" ht="12.6" customHeight="1" x14ac:dyDescent="0.2">
      <c r="B63" s="2" t="str">
        <f>Client1</f>
        <v>Province of KwaZulu-Natal</v>
      </c>
      <c r="C63" s="3"/>
      <c r="D63" s="4"/>
      <c r="E63" s="703" t="str">
        <f>"Contract No. "&amp;ContractNo</f>
        <v>Contract No. ZNB02287/00000/00/MET/INF/24/T</v>
      </c>
      <c r="F63" s="703"/>
      <c r="G63" s="703"/>
      <c r="H63" s="36"/>
      <c r="J63" s="56"/>
      <c r="K63" s="38"/>
      <c r="L63" s="80"/>
      <c r="M63" s="80"/>
    </row>
    <row r="64" spans="1:13" s="30" customFormat="1" ht="12.6" customHeight="1" x14ac:dyDescent="0.2">
      <c r="B64" s="81" t="str">
        <f>Client2</f>
        <v>Department of Transport</v>
      </c>
      <c r="C64" s="3"/>
      <c r="D64" s="4"/>
      <c r="E64" s="4"/>
      <c r="F64" s="1"/>
      <c r="G64" s="5"/>
      <c r="H64" s="36"/>
      <c r="J64" s="56"/>
      <c r="K64" s="38"/>
      <c r="L64" s="80"/>
      <c r="M64" s="80"/>
    </row>
    <row r="65" spans="2:13" s="30" customFormat="1" ht="12.6" customHeight="1" x14ac:dyDescent="0.2">
      <c r="B65" s="71"/>
      <c r="C65" s="71"/>
      <c r="D65" s="72"/>
      <c r="E65" s="72"/>
      <c r="F65" s="73"/>
      <c r="G65" s="82"/>
      <c r="H65" s="36"/>
      <c r="J65" s="56"/>
      <c r="K65" s="38"/>
      <c r="L65" s="80"/>
      <c r="M65" s="80"/>
    </row>
    <row r="66" spans="2:13" s="30" customFormat="1" ht="12.6" customHeight="1" x14ac:dyDescent="0.2">
      <c r="B66" s="698" t="s">
        <v>8</v>
      </c>
      <c r="C66" s="699"/>
      <c r="D66" s="699"/>
      <c r="E66" s="699"/>
      <c r="F66" s="699"/>
      <c r="G66" s="695" t="s">
        <v>885</v>
      </c>
      <c r="H66" s="36"/>
      <c r="J66" s="56"/>
      <c r="K66" s="38"/>
      <c r="L66" s="80"/>
      <c r="M66" s="80"/>
    </row>
    <row r="67" spans="2:13" s="30" customFormat="1" ht="12.6" customHeight="1" x14ac:dyDescent="0.2">
      <c r="B67" s="691" t="str">
        <f>ContractDescription</f>
        <v>PROVISION OF ROUTINE AND SAFETY MAINTENANCE ON MIAN ROAD P3/1 (KM 69.00 TO KM 77.96), P3/2 (KM 0.00 TO KM 11.50), P21/2(KM 0.00 TO KM 29.83 IN THE ETHEKWINI METRO - DURBAN REGION</v>
      </c>
      <c r="C67" s="692"/>
      <c r="D67" s="692"/>
      <c r="E67" s="692"/>
      <c r="F67" s="692"/>
      <c r="G67" s="696"/>
      <c r="H67" s="36"/>
      <c r="J67" s="56"/>
      <c r="K67" s="38"/>
      <c r="L67" s="80"/>
      <c r="M67" s="80"/>
    </row>
    <row r="68" spans="2:13" s="30" customFormat="1" ht="12.6" customHeight="1" x14ac:dyDescent="0.2">
      <c r="B68" s="691"/>
      <c r="C68" s="692"/>
      <c r="D68" s="692"/>
      <c r="E68" s="692"/>
      <c r="F68" s="692"/>
      <c r="G68" s="696"/>
      <c r="H68" s="36"/>
      <c r="J68" s="56"/>
      <c r="K68" s="38"/>
      <c r="L68" s="80"/>
      <c r="M68" s="80"/>
    </row>
    <row r="69" spans="2:13" s="30" customFormat="1" ht="12.6" customHeight="1" x14ac:dyDescent="0.2">
      <c r="B69" s="693"/>
      <c r="C69" s="694"/>
      <c r="D69" s="694"/>
      <c r="E69" s="694"/>
      <c r="F69" s="694"/>
      <c r="G69" s="697"/>
      <c r="H69" s="36"/>
      <c r="J69" s="56"/>
      <c r="K69" s="38"/>
      <c r="L69" s="80"/>
      <c r="M69" s="80"/>
    </row>
    <row r="70" spans="2:13" s="30" customFormat="1" ht="12.6" customHeight="1" x14ac:dyDescent="0.2">
      <c r="B70" s="552" t="s">
        <v>0</v>
      </c>
      <c r="C70" s="551" t="s">
        <v>1</v>
      </c>
      <c r="D70" s="484" t="s">
        <v>2</v>
      </c>
      <c r="E70" s="481" t="s">
        <v>3</v>
      </c>
      <c r="F70" s="484" t="s">
        <v>4</v>
      </c>
      <c r="G70" s="483" t="s">
        <v>5</v>
      </c>
      <c r="H70" s="36"/>
      <c r="J70" s="56"/>
      <c r="K70" s="38"/>
      <c r="L70" s="80"/>
      <c r="M70" s="80"/>
    </row>
    <row r="71" spans="2:13" s="30" customFormat="1" ht="12.6" customHeight="1" x14ac:dyDescent="0.2">
      <c r="B71" s="124"/>
      <c r="C71" s="554" t="s">
        <v>26</v>
      </c>
      <c r="D71" s="473"/>
      <c r="E71" s="559"/>
      <c r="F71" s="473"/>
      <c r="G71" s="560">
        <f>G61</f>
        <v>0</v>
      </c>
      <c r="H71" s="36"/>
      <c r="J71" s="56"/>
      <c r="K71" s="38" t="s">
        <v>666</v>
      </c>
      <c r="L71" s="80"/>
      <c r="M71" s="80"/>
    </row>
    <row r="72" spans="2:13" s="30" customFormat="1" ht="12.6" customHeight="1" x14ac:dyDescent="0.2">
      <c r="B72" s="124"/>
      <c r="D72" s="470"/>
      <c r="E72" s="257"/>
      <c r="F72" s="470"/>
      <c r="G72" s="474"/>
      <c r="H72" s="36"/>
      <c r="J72" s="56"/>
      <c r="K72" s="38"/>
      <c r="L72" s="80"/>
      <c r="M72" s="80"/>
    </row>
    <row r="73" spans="2:13" s="30" customFormat="1" ht="12.6" customHeight="1" x14ac:dyDescent="0.2">
      <c r="B73" s="464"/>
      <c r="C73" s="128"/>
      <c r="D73" s="469"/>
      <c r="E73" s="547"/>
      <c r="F73" s="544"/>
      <c r="G73" s="472" t="str">
        <f t="shared" ref="G73:G113" si="7">IF(D73="","",E73*F73)</f>
        <v/>
      </c>
      <c r="H73" s="36"/>
      <c r="J73" s="56"/>
      <c r="K73" s="38"/>
      <c r="L73" s="80"/>
      <c r="M73" s="80"/>
    </row>
    <row r="74" spans="2:13" s="30" customFormat="1" ht="12.6" customHeight="1" x14ac:dyDescent="0.2">
      <c r="B74" s="465" t="s">
        <v>904</v>
      </c>
      <c r="C74" s="128" t="s">
        <v>905</v>
      </c>
      <c r="D74" s="467"/>
      <c r="E74" s="222"/>
      <c r="F74" s="544"/>
      <c r="G74" s="472" t="str">
        <f t="shared" si="7"/>
        <v/>
      </c>
      <c r="H74" s="36"/>
      <c r="J74" s="56"/>
      <c r="K74" s="38"/>
      <c r="L74" s="80"/>
      <c r="M74" s="80"/>
    </row>
    <row r="75" spans="2:13" s="30" customFormat="1" ht="12.6" customHeight="1" x14ac:dyDescent="0.2">
      <c r="B75" s="464"/>
      <c r="C75" s="517"/>
      <c r="D75" s="467"/>
      <c r="E75" s="222"/>
      <c r="F75" s="544"/>
      <c r="G75" s="472" t="str">
        <f t="shared" si="7"/>
        <v/>
      </c>
      <c r="H75" s="36"/>
      <c r="J75" s="56"/>
      <c r="K75" s="38"/>
      <c r="L75" s="80"/>
      <c r="M75" s="80"/>
    </row>
    <row r="76" spans="2:13" s="30" customFormat="1" ht="12.6" customHeight="1" x14ac:dyDescent="0.2">
      <c r="B76" s="464" t="s">
        <v>906</v>
      </c>
      <c r="C76" s="84" t="s">
        <v>907</v>
      </c>
      <c r="D76" s="469" t="s">
        <v>23</v>
      </c>
      <c r="E76" s="621">
        <v>150</v>
      </c>
      <c r="F76" s="544"/>
      <c r="G76" s="472">
        <f t="shared" si="7"/>
        <v>0</v>
      </c>
      <c r="H76" s="36"/>
      <c r="J76" s="56"/>
      <c r="K76" s="38"/>
      <c r="L76" s="80"/>
      <c r="M76" s="80"/>
    </row>
    <row r="77" spans="2:13" s="30" customFormat="1" ht="12.6" customHeight="1" x14ac:dyDescent="0.2">
      <c r="B77" s="464"/>
      <c r="C77" s="517"/>
      <c r="D77" s="467"/>
      <c r="E77" s="222"/>
      <c r="F77" s="544"/>
      <c r="G77" s="472" t="str">
        <f t="shared" si="7"/>
        <v/>
      </c>
      <c r="H77" s="36"/>
      <c r="J77" s="56"/>
      <c r="K77" s="38"/>
      <c r="L77" s="80"/>
      <c r="M77" s="80"/>
    </row>
    <row r="78" spans="2:13" s="30" customFormat="1" ht="12.6" customHeight="1" x14ac:dyDescent="0.2">
      <c r="B78" s="464" t="s">
        <v>908</v>
      </c>
      <c r="C78" s="84" t="s">
        <v>909</v>
      </c>
      <c r="D78" s="469" t="s">
        <v>51</v>
      </c>
      <c r="E78" s="222">
        <v>1200</v>
      </c>
      <c r="F78" s="544"/>
      <c r="G78" s="472">
        <f t="shared" si="7"/>
        <v>0</v>
      </c>
      <c r="H78" s="36"/>
      <c r="J78" s="56"/>
      <c r="K78" s="38"/>
      <c r="L78" s="80"/>
      <c r="M78" s="80"/>
    </row>
    <row r="79" spans="2:13" s="30" customFormat="1" ht="12.6" customHeight="1" x14ac:dyDescent="0.2">
      <c r="B79" s="464"/>
      <c r="C79" s="517"/>
      <c r="D79" s="467"/>
      <c r="E79" s="222"/>
      <c r="F79" s="544"/>
      <c r="G79" s="472" t="str">
        <f t="shared" si="7"/>
        <v/>
      </c>
      <c r="H79" s="36"/>
      <c r="J79" s="56"/>
      <c r="K79" s="38"/>
      <c r="L79" s="80"/>
      <c r="M79" s="80"/>
    </row>
    <row r="80" spans="2:13" s="30" customFormat="1" ht="12.6" customHeight="1" x14ac:dyDescent="0.2">
      <c r="B80" s="464" t="s">
        <v>910</v>
      </c>
      <c r="C80" s="84" t="s">
        <v>911</v>
      </c>
      <c r="D80" s="467"/>
      <c r="E80" s="222"/>
      <c r="F80" s="544"/>
      <c r="G80" s="472" t="str">
        <f t="shared" si="7"/>
        <v/>
      </c>
      <c r="H80" s="36"/>
      <c r="J80" s="56"/>
      <c r="K80" s="38"/>
      <c r="L80" s="80"/>
      <c r="M80" s="80"/>
    </row>
    <row r="81" spans="2:13" s="30" customFormat="1" ht="12.6" customHeight="1" x14ac:dyDescent="0.2">
      <c r="B81" s="464"/>
      <c r="C81" s="517"/>
      <c r="D81" s="467"/>
      <c r="E81" s="222"/>
      <c r="F81" s="544"/>
      <c r="G81" s="472" t="str">
        <f t="shared" si="7"/>
        <v/>
      </c>
      <c r="H81" s="36"/>
      <c r="J81" s="56"/>
      <c r="K81" s="38"/>
      <c r="L81" s="80"/>
      <c r="M81" s="80"/>
    </row>
    <row r="82" spans="2:13" s="30" customFormat="1" ht="12.6" customHeight="1" x14ac:dyDescent="0.2">
      <c r="B82" s="464"/>
      <c r="C82" s="84" t="s">
        <v>912</v>
      </c>
      <c r="D82" s="469" t="s">
        <v>51</v>
      </c>
      <c r="E82" s="222">
        <v>100</v>
      </c>
      <c r="F82" s="544"/>
      <c r="G82" s="472">
        <f t="shared" si="7"/>
        <v>0</v>
      </c>
      <c r="H82" s="36"/>
      <c r="J82" s="56"/>
      <c r="K82" s="38"/>
      <c r="L82" s="80"/>
      <c r="M82" s="80"/>
    </row>
    <row r="83" spans="2:13" s="30" customFormat="1" ht="12.6" customHeight="1" x14ac:dyDescent="0.2">
      <c r="B83" s="464"/>
      <c r="C83" s="517"/>
      <c r="D83" s="467"/>
      <c r="E83" s="222"/>
      <c r="F83" s="544"/>
      <c r="G83" s="472" t="str">
        <f t="shared" si="7"/>
        <v/>
      </c>
      <c r="H83" s="36"/>
      <c r="J83" s="56"/>
      <c r="K83" s="38"/>
      <c r="L83" s="80"/>
      <c r="M83" s="80"/>
    </row>
    <row r="84" spans="2:13" s="30" customFormat="1" ht="12.6" customHeight="1" x14ac:dyDescent="0.2">
      <c r="B84" s="464"/>
      <c r="C84" s="84" t="s">
        <v>913</v>
      </c>
      <c r="D84" s="469" t="s">
        <v>51</v>
      </c>
      <c r="E84" s="222">
        <v>40</v>
      </c>
      <c r="F84" s="544"/>
      <c r="G84" s="472">
        <f t="shared" si="7"/>
        <v>0</v>
      </c>
      <c r="H84" s="36"/>
      <c r="J84" s="56"/>
      <c r="K84" s="38"/>
      <c r="L84" s="80"/>
      <c r="M84" s="80"/>
    </row>
    <row r="85" spans="2:13" s="30" customFormat="1" ht="12.6" customHeight="1" x14ac:dyDescent="0.2">
      <c r="B85" s="464"/>
      <c r="C85" s="517"/>
      <c r="D85" s="467"/>
      <c r="E85" s="222"/>
      <c r="F85" s="544"/>
      <c r="G85" s="472" t="str">
        <f t="shared" si="7"/>
        <v/>
      </c>
      <c r="H85" s="36"/>
      <c r="J85" s="56"/>
      <c r="K85" s="38"/>
      <c r="L85" s="80"/>
      <c r="M85" s="80"/>
    </row>
    <row r="86" spans="2:13" s="30" customFormat="1" ht="12.6" customHeight="1" x14ac:dyDescent="0.2">
      <c r="B86" s="465" t="s">
        <v>914</v>
      </c>
      <c r="C86" s="128" t="s">
        <v>915</v>
      </c>
      <c r="D86" s="556"/>
      <c r="E86" s="12"/>
      <c r="F86" s="544"/>
      <c r="G86" s="472" t="str">
        <f t="shared" si="7"/>
        <v/>
      </c>
      <c r="H86" s="36"/>
      <c r="J86" s="56"/>
      <c r="K86" s="38"/>
      <c r="L86" s="80"/>
      <c r="M86" s="80"/>
    </row>
    <row r="87" spans="2:13" s="30" customFormat="1" ht="12.6" customHeight="1" x14ac:dyDescent="0.2">
      <c r="B87" s="464"/>
      <c r="C87" s="517"/>
      <c r="D87" s="467"/>
      <c r="E87" s="222"/>
      <c r="F87" s="544"/>
      <c r="G87" s="472" t="str">
        <f t="shared" si="7"/>
        <v/>
      </c>
      <c r="H87" s="36"/>
      <c r="J87" s="56"/>
      <c r="K87" s="38"/>
      <c r="L87" s="80"/>
      <c r="M87" s="80"/>
    </row>
    <row r="88" spans="2:13" s="30" customFormat="1" ht="12.6" customHeight="1" x14ac:dyDescent="0.2">
      <c r="B88" s="464" t="s">
        <v>916</v>
      </c>
      <c r="C88" s="84" t="s">
        <v>917</v>
      </c>
      <c r="D88" s="469" t="s">
        <v>51</v>
      </c>
      <c r="E88" s="222">
        <v>150</v>
      </c>
      <c r="F88" s="544"/>
      <c r="G88" s="472">
        <f t="shared" si="7"/>
        <v>0</v>
      </c>
      <c r="H88" s="36"/>
      <c r="J88" s="56"/>
      <c r="K88" s="38"/>
      <c r="L88" s="80"/>
      <c r="M88" s="80"/>
    </row>
    <row r="89" spans="2:13" s="30" customFormat="1" ht="12.6" customHeight="1" x14ac:dyDescent="0.2">
      <c r="B89" s="464"/>
      <c r="C89" s="517"/>
      <c r="D89" s="467"/>
      <c r="E89" s="222"/>
      <c r="F89" s="544"/>
      <c r="G89" s="472" t="str">
        <f t="shared" si="7"/>
        <v/>
      </c>
      <c r="H89" s="36"/>
      <c r="J89" s="56"/>
      <c r="K89" s="38"/>
      <c r="L89" s="80"/>
      <c r="M89" s="80"/>
    </row>
    <row r="90" spans="2:13" s="30" customFormat="1" ht="12.6" customHeight="1" x14ac:dyDescent="0.2">
      <c r="B90" s="464" t="s">
        <v>918</v>
      </c>
      <c r="C90" s="84" t="s">
        <v>919</v>
      </c>
      <c r="D90" s="469" t="s">
        <v>51</v>
      </c>
      <c r="E90" s="222">
        <v>80</v>
      </c>
      <c r="F90" s="544"/>
      <c r="G90" s="472">
        <f t="shared" si="7"/>
        <v>0</v>
      </c>
      <c r="H90" s="36"/>
      <c r="J90" s="56"/>
      <c r="K90" s="38"/>
      <c r="L90" s="80"/>
      <c r="M90" s="80"/>
    </row>
    <row r="91" spans="2:13" s="30" customFormat="1" ht="12.6" customHeight="1" x14ac:dyDescent="0.2">
      <c r="B91" s="464"/>
      <c r="C91" s="517"/>
      <c r="D91" s="467"/>
      <c r="E91" s="222"/>
      <c r="F91" s="544"/>
      <c r="G91" s="472" t="str">
        <f t="shared" si="7"/>
        <v/>
      </c>
      <c r="H91" s="36"/>
      <c r="J91" s="56"/>
      <c r="K91" s="38"/>
      <c r="L91" s="80"/>
      <c r="M91" s="80"/>
    </row>
    <row r="92" spans="2:13" s="30" customFormat="1" ht="12.6" customHeight="1" x14ac:dyDescent="0.2">
      <c r="B92" s="464" t="s">
        <v>920</v>
      </c>
      <c r="C92" s="517" t="s">
        <v>921</v>
      </c>
      <c r="D92" s="469" t="s">
        <v>51</v>
      </c>
      <c r="E92" s="222">
        <v>12</v>
      </c>
      <c r="F92" s="544"/>
      <c r="G92" s="472">
        <f t="shared" si="7"/>
        <v>0</v>
      </c>
      <c r="H92" s="36"/>
      <c r="J92" s="56"/>
      <c r="K92" s="38"/>
      <c r="L92" s="80"/>
      <c r="M92" s="80"/>
    </row>
    <row r="93" spans="2:13" s="30" customFormat="1" ht="12.6" customHeight="1" x14ac:dyDescent="0.2">
      <c r="B93" s="464"/>
      <c r="C93" s="517"/>
      <c r="D93" s="467"/>
      <c r="E93" s="222"/>
      <c r="F93" s="470"/>
      <c r="G93" s="472" t="str">
        <f t="shared" si="7"/>
        <v/>
      </c>
      <c r="H93" s="36"/>
      <c r="J93" s="56"/>
      <c r="K93" s="38"/>
      <c r="L93" s="80"/>
      <c r="M93" s="80"/>
    </row>
    <row r="94" spans="2:13" s="30" customFormat="1" ht="12.6" customHeight="1" x14ac:dyDescent="0.2">
      <c r="B94" s="465" t="s">
        <v>922</v>
      </c>
      <c r="C94" s="435" t="s">
        <v>923</v>
      </c>
      <c r="D94" s="468" t="s">
        <v>6</v>
      </c>
      <c r="E94" s="12">
        <v>80</v>
      </c>
      <c r="F94" s="546"/>
      <c r="G94" s="472">
        <f t="shared" si="7"/>
        <v>0</v>
      </c>
      <c r="H94" s="36"/>
      <c r="J94" s="56"/>
      <c r="K94" s="38"/>
      <c r="L94" s="80"/>
      <c r="M94" s="80"/>
    </row>
    <row r="95" spans="2:13" s="30" customFormat="1" ht="12.6" customHeight="1" x14ac:dyDescent="0.2">
      <c r="B95" s="464"/>
      <c r="C95" s="517"/>
      <c r="D95" s="467"/>
      <c r="E95" s="222"/>
      <c r="F95" s="546"/>
      <c r="G95" s="472" t="str">
        <f t="shared" si="7"/>
        <v/>
      </c>
      <c r="H95" s="36"/>
      <c r="J95" s="56"/>
      <c r="K95" s="38"/>
      <c r="L95" s="80"/>
      <c r="M95" s="80"/>
    </row>
    <row r="96" spans="2:13" s="30" customFormat="1" ht="12.6" customHeight="1" x14ac:dyDescent="0.2">
      <c r="B96" s="465" t="s">
        <v>924</v>
      </c>
      <c r="C96" s="128" t="s">
        <v>925</v>
      </c>
      <c r="D96" s="555" t="s">
        <v>926</v>
      </c>
      <c r="E96" s="12">
        <v>24</v>
      </c>
      <c r="F96" s="546"/>
      <c r="G96" s="472">
        <f t="shared" si="7"/>
        <v>0</v>
      </c>
      <c r="H96" s="36"/>
      <c r="J96" s="56"/>
      <c r="K96" s="38"/>
      <c r="L96" s="80"/>
      <c r="M96" s="80"/>
    </row>
    <row r="97" spans="2:13" s="30" customFormat="1" ht="12.6" customHeight="1" x14ac:dyDescent="0.2">
      <c r="B97" s="464"/>
      <c r="C97" s="517"/>
      <c r="D97" s="467"/>
      <c r="E97" s="222"/>
      <c r="F97" s="545"/>
      <c r="G97" s="472" t="str">
        <f t="shared" si="7"/>
        <v/>
      </c>
      <c r="H97" s="36"/>
      <c r="J97" s="56"/>
      <c r="K97" s="38"/>
      <c r="L97" s="80"/>
      <c r="M97" s="80"/>
    </row>
    <row r="98" spans="2:13" s="30" customFormat="1" ht="12.6" customHeight="1" x14ac:dyDescent="0.2">
      <c r="B98" s="465" t="s">
        <v>927</v>
      </c>
      <c r="C98" s="128" t="s">
        <v>109</v>
      </c>
      <c r="D98" s="557"/>
      <c r="E98" s="12"/>
      <c r="F98" s="545"/>
      <c r="G98" s="472" t="str">
        <f t="shared" si="7"/>
        <v/>
      </c>
      <c r="H98" s="36"/>
      <c r="J98" s="56"/>
      <c r="K98" s="38"/>
      <c r="L98" s="80"/>
      <c r="M98" s="80"/>
    </row>
    <row r="99" spans="2:13" s="30" customFormat="1" ht="12.6" customHeight="1" x14ac:dyDescent="0.2">
      <c r="B99" s="465"/>
      <c r="C99" s="128"/>
      <c r="D99" s="557"/>
      <c r="E99" s="12"/>
      <c r="F99" s="545"/>
      <c r="G99" s="472" t="str">
        <f t="shared" si="7"/>
        <v/>
      </c>
      <c r="H99" s="36"/>
      <c r="J99" s="56"/>
      <c r="K99" s="38"/>
      <c r="L99" s="80"/>
      <c r="M99" s="80"/>
    </row>
    <row r="100" spans="2:13" s="30" customFormat="1" ht="12.6" customHeight="1" x14ac:dyDescent="0.2">
      <c r="B100" s="464" t="s">
        <v>928</v>
      </c>
      <c r="C100" s="84" t="s">
        <v>929</v>
      </c>
      <c r="D100" s="558" t="s">
        <v>930</v>
      </c>
      <c r="E100" s="222">
        <v>0.6</v>
      </c>
      <c r="F100" s="545"/>
      <c r="G100" s="472">
        <f t="shared" si="7"/>
        <v>0</v>
      </c>
      <c r="H100" s="36"/>
      <c r="J100" s="56"/>
      <c r="K100" s="38"/>
      <c r="L100" s="80"/>
      <c r="M100" s="80"/>
    </row>
    <row r="101" spans="2:13" s="30" customFormat="1" ht="12.6" customHeight="1" x14ac:dyDescent="0.2">
      <c r="B101" s="553"/>
      <c r="C101" s="549"/>
      <c r="D101" s="558"/>
      <c r="E101" s="222"/>
      <c r="F101" s="545"/>
      <c r="G101" s="472" t="str">
        <f t="shared" si="7"/>
        <v/>
      </c>
      <c r="H101" s="36"/>
      <c r="J101" s="56"/>
      <c r="K101" s="38"/>
      <c r="L101" s="80"/>
      <c r="M101" s="80"/>
    </row>
    <row r="102" spans="2:13" s="30" customFormat="1" ht="12.6" customHeight="1" x14ac:dyDescent="0.2">
      <c r="B102" s="464" t="s">
        <v>931</v>
      </c>
      <c r="C102" s="84" t="s">
        <v>703</v>
      </c>
      <c r="D102" s="558" t="s">
        <v>24</v>
      </c>
      <c r="E102" s="222">
        <v>280</v>
      </c>
      <c r="F102" s="545"/>
      <c r="G102" s="472">
        <f t="shared" si="7"/>
        <v>0</v>
      </c>
      <c r="H102" s="36"/>
      <c r="J102" s="56"/>
      <c r="K102" s="38"/>
      <c r="L102" s="80"/>
      <c r="M102" s="80"/>
    </row>
    <row r="103" spans="2:13" s="30" customFormat="1" ht="12.6" customHeight="1" x14ac:dyDescent="0.2">
      <c r="B103" s="553"/>
      <c r="C103" s="549"/>
      <c r="D103" s="558"/>
      <c r="E103" s="222"/>
      <c r="F103" s="545"/>
      <c r="G103" s="472" t="str">
        <f t="shared" si="7"/>
        <v/>
      </c>
      <c r="H103" s="36"/>
      <c r="J103" s="56"/>
      <c r="K103" s="38"/>
      <c r="L103" s="80"/>
      <c r="M103" s="80"/>
    </row>
    <row r="104" spans="2:13" s="30" customFormat="1" ht="12.6" customHeight="1" x14ac:dyDescent="0.2">
      <c r="B104" s="465" t="s">
        <v>932</v>
      </c>
      <c r="C104" s="435" t="s">
        <v>933</v>
      </c>
      <c r="D104" s="555" t="s">
        <v>6</v>
      </c>
      <c r="E104" s="622">
        <v>600</v>
      </c>
      <c r="F104" s="546"/>
      <c r="G104" s="472">
        <f t="shared" si="7"/>
        <v>0</v>
      </c>
      <c r="H104" s="36"/>
      <c r="J104" s="56"/>
      <c r="K104" s="38"/>
      <c r="L104" s="80"/>
      <c r="M104" s="80"/>
    </row>
    <row r="105" spans="2:13" s="30" customFormat="1" ht="12.6" customHeight="1" x14ac:dyDescent="0.2">
      <c r="B105" s="553"/>
      <c r="C105" s="549"/>
      <c r="D105" s="553"/>
      <c r="E105" s="222"/>
      <c r="F105" s="545"/>
      <c r="G105" s="472" t="str">
        <f t="shared" si="7"/>
        <v/>
      </c>
      <c r="H105" s="36"/>
      <c r="J105" s="56"/>
      <c r="K105" s="38"/>
      <c r="L105" s="80"/>
      <c r="M105" s="80"/>
    </row>
    <row r="106" spans="2:13" s="30" customFormat="1" ht="12.6" customHeight="1" x14ac:dyDescent="0.2">
      <c r="B106" s="465" t="s">
        <v>934</v>
      </c>
      <c r="C106" s="128" t="s">
        <v>935</v>
      </c>
      <c r="D106" s="557"/>
      <c r="E106" s="12"/>
      <c r="F106" s="545"/>
      <c r="G106" s="472" t="str">
        <f t="shared" si="7"/>
        <v/>
      </c>
      <c r="H106" s="36"/>
      <c r="J106" s="56"/>
      <c r="K106" s="38"/>
      <c r="L106" s="80"/>
      <c r="M106" s="80"/>
    </row>
    <row r="107" spans="2:13" s="30" customFormat="1" ht="12.6" customHeight="1" x14ac:dyDescent="0.2">
      <c r="B107" s="553"/>
      <c r="C107" s="549"/>
      <c r="D107" s="553"/>
      <c r="E107" s="222"/>
      <c r="F107" s="544"/>
      <c r="G107" s="472" t="str">
        <f t="shared" si="7"/>
        <v/>
      </c>
      <c r="H107" s="36"/>
      <c r="J107" s="56"/>
      <c r="K107" s="38"/>
      <c r="L107" s="80"/>
      <c r="M107" s="80"/>
    </row>
    <row r="108" spans="2:13" s="30" customFormat="1" ht="12.6" customHeight="1" x14ac:dyDescent="0.2">
      <c r="B108" s="464" t="s">
        <v>936</v>
      </c>
      <c r="C108" s="84" t="s">
        <v>937</v>
      </c>
      <c r="D108" s="558" t="s">
        <v>33</v>
      </c>
      <c r="E108" s="222">
        <v>60</v>
      </c>
      <c r="F108" s="544"/>
      <c r="G108" s="472">
        <f t="shared" si="7"/>
        <v>0</v>
      </c>
      <c r="H108" s="36"/>
      <c r="J108" s="56"/>
      <c r="K108" s="38"/>
      <c r="L108" s="80"/>
      <c r="M108" s="80"/>
    </row>
    <row r="109" spans="2:13" s="30" customFormat="1" ht="12.6" customHeight="1" x14ac:dyDescent="0.2">
      <c r="B109" s="553"/>
      <c r="C109" s="549"/>
      <c r="D109" s="553"/>
      <c r="E109" s="222"/>
      <c r="F109" s="544"/>
      <c r="G109" s="472" t="str">
        <f t="shared" si="7"/>
        <v/>
      </c>
      <c r="H109" s="36"/>
      <c r="J109" s="56"/>
      <c r="K109" s="38"/>
      <c r="L109" s="80"/>
      <c r="M109" s="80"/>
    </row>
    <row r="110" spans="2:13" s="30" customFormat="1" ht="12.6" customHeight="1" x14ac:dyDescent="0.2">
      <c r="B110" s="464" t="s">
        <v>938</v>
      </c>
      <c r="C110" s="84" t="s">
        <v>939</v>
      </c>
      <c r="D110" s="469" t="s">
        <v>51</v>
      </c>
      <c r="E110" s="222">
        <v>15</v>
      </c>
      <c r="F110" s="470"/>
      <c r="G110" s="472">
        <f t="shared" si="7"/>
        <v>0</v>
      </c>
      <c r="H110" s="36"/>
      <c r="J110" s="56"/>
      <c r="K110" s="38"/>
      <c r="L110" s="80"/>
      <c r="M110" s="80"/>
    </row>
    <row r="111" spans="2:13" s="30" customFormat="1" ht="12.6" customHeight="1" x14ac:dyDescent="0.2">
      <c r="B111" s="464"/>
      <c r="C111" s="84"/>
      <c r="D111" s="469"/>
      <c r="E111" s="222"/>
      <c r="F111" s="470"/>
      <c r="G111" s="472" t="str">
        <f t="shared" si="7"/>
        <v/>
      </c>
      <c r="H111" s="36"/>
      <c r="J111" s="56"/>
      <c r="K111" s="38"/>
      <c r="L111" s="80"/>
      <c r="M111" s="80"/>
    </row>
    <row r="112" spans="2:13" s="30" customFormat="1" ht="12.6" customHeight="1" x14ac:dyDescent="0.2">
      <c r="B112" s="465" t="s">
        <v>940</v>
      </c>
      <c r="C112" s="128" t="s">
        <v>941</v>
      </c>
      <c r="D112" s="555" t="s">
        <v>926</v>
      </c>
      <c r="E112" s="12">
        <v>6</v>
      </c>
      <c r="F112" s="470"/>
      <c r="G112" s="472">
        <f t="shared" si="7"/>
        <v>0</v>
      </c>
      <c r="H112" s="36"/>
      <c r="J112" s="56"/>
      <c r="K112" s="38"/>
      <c r="L112" s="80"/>
      <c r="M112" s="80"/>
    </row>
    <row r="113" spans="2:13" s="30" customFormat="1" ht="12.6" customHeight="1" x14ac:dyDescent="0.2">
      <c r="B113" s="124"/>
      <c r="D113" s="470"/>
      <c r="E113" s="257"/>
      <c r="F113" s="470"/>
      <c r="G113" s="472" t="str">
        <f t="shared" si="7"/>
        <v/>
      </c>
      <c r="H113" s="36"/>
      <c r="J113" s="56"/>
      <c r="K113" s="38"/>
      <c r="L113" s="80"/>
      <c r="M113" s="80"/>
    </row>
    <row r="114" spans="2:13" s="30" customFormat="1" ht="12.6" customHeight="1" x14ac:dyDescent="0.2">
      <c r="B114" s="124"/>
      <c r="D114" s="470"/>
      <c r="E114" s="257"/>
      <c r="F114" s="470"/>
      <c r="G114" s="472"/>
      <c r="H114" s="36"/>
      <c r="J114" s="56"/>
      <c r="K114" s="38"/>
      <c r="L114" s="80"/>
      <c r="M114" s="80"/>
    </row>
    <row r="115" spans="2:13" s="30" customFormat="1" ht="12.6" customHeight="1" x14ac:dyDescent="0.2">
      <c r="B115" s="124"/>
      <c r="D115" s="470"/>
      <c r="E115" s="257"/>
      <c r="F115" s="470"/>
      <c r="G115" s="472"/>
      <c r="H115" s="36"/>
      <c r="J115" s="56"/>
      <c r="K115" s="38"/>
      <c r="L115" s="80"/>
      <c r="M115" s="80"/>
    </row>
    <row r="116" spans="2:13" s="30" customFormat="1" ht="12.6" customHeight="1" x14ac:dyDescent="0.2">
      <c r="B116" s="124"/>
      <c r="D116" s="470"/>
      <c r="E116" s="257"/>
      <c r="F116" s="470"/>
      <c r="G116" s="472"/>
      <c r="H116" s="36"/>
      <c r="J116" s="56"/>
      <c r="K116" s="38"/>
      <c r="L116" s="80"/>
      <c r="M116" s="80"/>
    </row>
    <row r="117" spans="2:13" s="30" customFormat="1" ht="12.6" customHeight="1" x14ac:dyDescent="0.2">
      <c r="B117" s="124"/>
      <c r="D117" s="470"/>
      <c r="E117" s="257"/>
      <c r="F117" s="470"/>
      <c r="G117" s="472"/>
      <c r="H117" s="36"/>
      <c r="J117" s="56"/>
      <c r="K117" s="38"/>
      <c r="L117" s="80"/>
      <c r="M117" s="80"/>
    </row>
    <row r="118" spans="2:13" s="30" customFormat="1" ht="12.6" customHeight="1" x14ac:dyDescent="0.2">
      <c r="B118" s="124"/>
      <c r="D118" s="470"/>
      <c r="E118" s="257"/>
      <c r="F118" s="470"/>
      <c r="G118" s="472"/>
      <c r="H118" s="36"/>
      <c r="J118" s="56"/>
      <c r="K118" s="38"/>
      <c r="L118" s="80"/>
      <c r="M118" s="80"/>
    </row>
    <row r="119" spans="2:13" s="30" customFormat="1" ht="12.6" customHeight="1" x14ac:dyDescent="0.2">
      <c r="B119" s="124"/>
      <c r="D119" s="470"/>
      <c r="E119" s="257"/>
      <c r="F119" s="470"/>
      <c r="G119" s="472"/>
      <c r="H119" s="36"/>
      <c r="J119" s="56"/>
      <c r="K119" s="38"/>
      <c r="L119" s="80"/>
      <c r="M119" s="80"/>
    </row>
    <row r="120" spans="2:13" s="30" customFormat="1" ht="12.6" customHeight="1" x14ac:dyDescent="0.2">
      <c r="B120" s="124"/>
      <c r="D120" s="470"/>
      <c r="E120" s="257"/>
      <c r="F120" s="470"/>
      <c r="G120" s="472"/>
      <c r="H120" s="36"/>
      <c r="J120" s="56"/>
      <c r="K120" s="38"/>
      <c r="L120" s="80"/>
      <c r="M120" s="80"/>
    </row>
    <row r="121" spans="2:13" s="30" customFormat="1" ht="12.6" customHeight="1" x14ac:dyDescent="0.2">
      <c r="B121" s="124"/>
      <c r="D121" s="470"/>
      <c r="E121" s="257"/>
      <c r="F121" s="470"/>
      <c r="G121" s="472"/>
      <c r="H121" s="36"/>
      <c r="J121" s="56"/>
      <c r="K121" s="38"/>
      <c r="L121" s="80"/>
      <c r="M121" s="80"/>
    </row>
    <row r="122" spans="2:13" s="30" customFormat="1" ht="12.6" customHeight="1" x14ac:dyDescent="0.2">
      <c r="B122" s="124"/>
      <c r="D122" s="470"/>
      <c r="E122" s="257"/>
      <c r="F122" s="470"/>
      <c r="G122" s="472"/>
      <c r="H122" s="36"/>
      <c r="J122" s="56"/>
      <c r="K122" s="38"/>
      <c r="L122" s="80"/>
      <c r="M122" s="80"/>
    </row>
    <row r="123" spans="2:13" s="30" customFormat="1" ht="12.6" customHeight="1" x14ac:dyDescent="0.2">
      <c r="B123" s="124"/>
      <c r="D123" s="470"/>
      <c r="E123" s="257"/>
      <c r="F123" s="470"/>
      <c r="G123" s="472"/>
      <c r="H123" s="36"/>
      <c r="J123" s="56"/>
      <c r="K123" s="38"/>
      <c r="L123" s="80"/>
      <c r="M123" s="80"/>
    </row>
    <row r="124" spans="2:13" s="30" customFormat="1" ht="12.6" customHeight="1" x14ac:dyDescent="0.2">
      <c r="B124" s="124"/>
      <c r="D124" s="470"/>
      <c r="E124" s="257"/>
      <c r="F124" s="470"/>
      <c r="G124" s="472"/>
      <c r="H124" s="36"/>
      <c r="J124" s="56"/>
      <c r="K124" s="38"/>
      <c r="L124" s="80"/>
      <c r="M124" s="80"/>
    </row>
    <row r="125" spans="2:13" s="30" customFormat="1" ht="12.6" customHeight="1" x14ac:dyDescent="0.2">
      <c r="B125" s="124"/>
      <c r="D125" s="470"/>
      <c r="E125" s="257"/>
      <c r="F125" s="470"/>
      <c r="G125" s="472"/>
      <c r="H125" s="36"/>
      <c r="J125" s="56"/>
      <c r="K125" s="38"/>
      <c r="L125" s="80"/>
      <c r="M125" s="80"/>
    </row>
    <row r="126" spans="2:13" s="30" customFormat="1" ht="12.6" customHeight="1" x14ac:dyDescent="0.2">
      <c r="B126" s="124"/>
      <c r="D126" s="470"/>
      <c r="E126" s="257"/>
      <c r="F126" s="470"/>
      <c r="G126" s="472"/>
      <c r="H126" s="36"/>
      <c r="J126" s="56"/>
      <c r="K126" s="38"/>
      <c r="L126" s="80"/>
      <c r="M126" s="80"/>
    </row>
    <row r="127" spans="2:13" s="30" customFormat="1" ht="12.6" customHeight="1" x14ac:dyDescent="0.2">
      <c r="B127" s="124"/>
      <c r="D127" s="470"/>
      <c r="E127" s="257"/>
      <c r="F127" s="470"/>
      <c r="G127" s="472"/>
      <c r="H127" s="36"/>
      <c r="J127" s="56"/>
      <c r="K127" s="38"/>
      <c r="L127" s="80"/>
      <c r="M127" s="80"/>
    </row>
    <row r="128" spans="2:13" s="30" customFormat="1" ht="12.6" customHeight="1" x14ac:dyDescent="0.2">
      <c r="B128" s="124"/>
      <c r="D128" s="470"/>
      <c r="E128" s="257"/>
      <c r="F128" s="470"/>
      <c r="G128" s="472"/>
      <c r="H128" s="36"/>
      <c r="J128" s="56"/>
      <c r="K128" s="38"/>
      <c r="L128" s="80"/>
      <c r="M128" s="80"/>
    </row>
    <row r="129" spans="2:13" s="30" customFormat="1" ht="12.6" customHeight="1" x14ac:dyDescent="0.2">
      <c r="B129" s="124"/>
      <c r="D129" s="470"/>
      <c r="E129" s="257"/>
      <c r="F129" s="470"/>
      <c r="G129" s="472"/>
      <c r="H129" s="36"/>
      <c r="J129" s="56"/>
      <c r="K129" s="38"/>
      <c r="L129" s="80"/>
      <c r="M129" s="80"/>
    </row>
    <row r="130" spans="2:13" s="30" customFormat="1" ht="12.6" customHeight="1" x14ac:dyDescent="0.2">
      <c r="B130" s="466"/>
      <c r="C130" s="475"/>
      <c r="D130" s="471"/>
      <c r="E130" s="476"/>
      <c r="F130" s="471"/>
      <c r="G130" s="477"/>
      <c r="H130" s="36"/>
      <c r="J130" s="56"/>
      <c r="K130" s="38"/>
      <c r="L130" s="80"/>
      <c r="M130" s="80"/>
    </row>
    <row r="131" spans="2:13" s="30" customFormat="1" ht="27" customHeight="1" x14ac:dyDescent="0.2">
      <c r="B131" s="121" t="str">
        <f>$B$11</f>
        <v>C3.3</v>
      </c>
      <c r="C131" s="32" t="str">
        <f>"TOTAL CARRIED FORWARD"&amp;IF(G131=G$1," TO SUMMARY (Page C"&amp;Page_A&amp;")","")</f>
        <v>TOTAL CARRIED FORWARD TO SUMMARY (Page C49)</v>
      </c>
      <c r="D131" s="33"/>
      <c r="E131" s="34"/>
      <c r="F131" s="33"/>
      <c r="G131" s="352">
        <f>SUM(G71:G130)</f>
        <v>0</v>
      </c>
      <c r="H131" s="36"/>
      <c r="J131" s="56"/>
      <c r="K131" s="38">
        <f>SUM(K93:K130)</f>
        <v>0</v>
      </c>
      <c r="L131" s="80"/>
      <c r="M131" s="80"/>
    </row>
    <row r="132" spans="2:13" s="30" customFormat="1" ht="12.6" customHeight="1" x14ac:dyDescent="0.2">
      <c r="B132" s="462"/>
      <c r="D132" s="463"/>
      <c r="E132" s="257"/>
      <c r="F132" s="463"/>
      <c r="G132" s="42"/>
      <c r="H132" s="36"/>
      <c r="J132" s="56"/>
      <c r="K132" s="38"/>
      <c r="L132" s="80"/>
      <c r="M132" s="80"/>
    </row>
    <row r="133" spans="2:13" s="30" customFormat="1" ht="12.6" customHeight="1" x14ac:dyDescent="0.2">
      <c r="B133" s="462"/>
      <c r="D133" s="463"/>
      <c r="E133" s="257"/>
      <c r="F133" s="463"/>
      <c r="G133" s="42"/>
      <c r="H133" s="36"/>
      <c r="J133" s="56"/>
      <c r="K133" s="38"/>
      <c r="L133" s="80"/>
      <c r="M133" s="80"/>
    </row>
    <row r="134" spans="2:13" s="30" customFormat="1" ht="12.6" customHeight="1" x14ac:dyDescent="0.2">
      <c r="B134" s="462"/>
      <c r="D134" s="463"/>
      <c r="E134" s="257"/>
      <c r="F134" s="463"/>
      <c r="G134" s="42"/>
      <c r="H134" s="36"/>
      <c r="J134" s="56"/>
      <c r="K134" s="38"/>
      <c r="L134" s="80"/>
      <c r="M134" s="80"/>
    </row>
    <row r="135" spans="2:13" s="30" customFormat="1" ht="12.6" customHeight="1" x14ac:dyDescent="0.2">
      <c r="B135" s="462"/>
      <c r="D135" s="463"/>
      <c r="E135" s="257"/>
      <c r="F135" s="463"/>
      <c r="G135" s="42"/>
      <c r="H135" s="36"/>
      <c r="J135" s="56"/>
      <c r="K135" s="38"/>
      <c r="L135" s="80"/>
      <c r="M135" s="80"/>
    </row>
    <row r="136" spans="2:13" s="30" customFormat="1" ht="12.6" customHeight="1" x14ac:dyDescent="0.2">
      <c r="B136" s="462"/>
      <c r="D136" s="463"/>
      <c r="E136" s="257"/>
      <c r="F136" s="463"/>
      <c r="G136" s="42"/>
      <c r="H136" s="36"/>
      <c r="J136" s="56"/>
      <c r="K136" s="38"/>
      <c r="L136" s="80"/>
      <c r="M136" s="80"/>
    </row>
    <row r="137" spans="2:13" s="30" customFormat="1" ht="12.6" customHeight="1" x14ac:dyDescent="0.2">
      <c r="B137" s="462"/>
      <c r="D137" s="463"/>
      <c r="E137" s="257"/>
      <c r="F137" s="463"/>
      <c r="G137" s="42"/>
      <c r="H137" s="36"/>
      <c r="J137" s="56"/>
      <c r="K137" s="38"/>
      <c r="L137" s="80"/>
      <c r="M137" s="80"/>
    </row>
    <row r="138" spans="2:13" s="30" customFormat="1" ht="12.6" customHeight="1" x14ac:dyDescent="0.2">
      <c r="B138" s="462"/>
      <c r="D138" s="463"/>
      <c r="E138" s="257"/>
      <c r="F138" s="463"/>
      <c r="G138" s="42"/>
      <c r="H138" s="36"/>
      <c r="J138" s="56"/>
      <c r="K138" s="38"/>
      <c r="L138" s="80"/>
      <c r="M138" s="80"/>
    </row>
    <row r="139" spans="2:13" s="30" customFormat="1" ht="12.6" customHeight="1" x14ac:dyDescent="0.2">
      <c r="B139" s="462"/>
      <c r="D139" s="463"/>
      <c r="E139" s="257"/>
      <c r="F139" s="463"/>
      <c r="G139" s="42"/>
      <c r="H139" s="36"/>
      <c r="J139" s="56"/>
      <c r="K139" s="38"/>
      <c r="L139" s="80"/>
      <c r="M139" s="80"/>
    </row>
    <row r="140" spans="2:13" s="30" customFormat="1" ht="12.6" customHeight="1" x14ac:dyDescent="0.2">
      <c r="B140" s="462"/>
      <c r="D140" s="463"/>
      <c r="E140" s="257"/>
      <c r="F140" s="463"/>
      <c r="G140" s="42"/>
      <c r="H140" s="36"/>
      <c r="J140" s="56"/>
      <c r="K140" s="38"/>
      <c r="L140" s="80"/>
      <c r="M140" s="80"/>
    </row>
    <row r="141" spans="2:13" s="30" customFormat="1" ht="12.6" customHeight="1" x14ac:dyDescent="0.2">
      <c r="B141" s="462"/>
      <c r="D141" s="463"/>
      <c r="E141" s="257"/>
      <c r="F141" s="463"/>
      <c r="G141" s="42"/>
      <c r="H141" s="36"/>
      <c r="J141" s="56"/>
      <c r="K141" s="38"/>
      <c r="L141" s="80"/>
      <c r="M141" s="80"/>
    </row>
    <row r="142" spans="2:13" s="30" customFormat="1" ht="12.6" customHeight="1" x14ac:dyDescent="0.2">
      <c r="B142" s="462"/>
      <c r="D142" s="463"/>
      <c r="E142" s="257"/>
      <c r="F142" s="463"/>
      <c r="G142" s="42"/>
      <c r="H142" s="36"/>
      <c r="J142" s="56"/>
      <c r="K142" s="38"/>
      <c r="L142" s="80"/>
      <c r="M142" s="80"/>
    </row>
    <row r="143" spans="2:13" s="30" customFormat="1" ht="12.6" customHeight="1" x14ac:dyDescent="0.2">
      <c r="B143" s="462"/>
      <c r="D143" s="463"/>
      <c r="E143" s="257"/>
      <c r="F143" s="463"/>
      <c r="G143" s="42"/>
      <c r="H143" s="36"/>
      <c r="J143" s="56"/>
      <c r="K143" s="38"/>
      <c r="L143" s="80"/>
      <c r="M143" s="80"/>
    </row>
    <row r="144" spans="2:13" s="30" customFormat="1" ht="12.6" customHeight="1" x14ac:dyDescent="0.2">
      <c r="B144" s="462"/>
      <c r="D144" s="463"/>
      <c r="E144" s="257"/>
      <c r="F144" s="463"/>
      <c r="G144" s="42"/>
      <c r="H144" s="36"/>
      <c r="J144" s="56"/>
      <c r="K144" s="38"/>
      <c r="L144" s="80"/>
      <c r="M144" s="80"/>
    </row>
    <row r="145" spans="2:13" s="30" customFormat="1" ht="19.5" customHeight="1" x14ac:dyDescent="0.2">
      <c r="B145" s="462"/>
      <c r="D145" s="463"/>
      <c r="E145" s="257"/>
      <c r="F145" s="463"/>
      <c r="G145" s="42"/>
      <c r="H145" s="36"/>
      <c r="J145" s="56"/>
      <c r="K145" s="38"/>
      <c r="L145" s="80"/>
      <c r="M145" s="80"/>
    </row>
    <row r="146" spans="2:13" s="30" customFormat="1" ht="19.5" customHeight="1" x14ac:dyDescent="0.2">
      <c r="B146" s="462"/>
      <c r="D146" s="463"/>
      <c r="E146" s="257"/>
      <c r="F146" s="463"/>
      <c r="G146" s="42"/>
      <c r="H146" s="36"/>
      <c r="J146" s="56"/>
      <c r="K146" s="38"/>
      <c r="L146" s="80"/>
      <c r="M146" s="80"/>
    </row>
    <row r="147" spans="2:13" s="30" customFormat="1" ht="19.5" customHeight="1" x14ac:dyDescent="0.2">
      <c r="B147" s="462"/>
      <c r="D147" s="463"/>
      <c r="E147" s="257"/>
      <c r="F147" s="463"/>
      <c r="G147" s="42"/>
      <c r="H147" s="36"/>
      <c r="J147" s="56"/>
      <c r="K147" s="38"/>
      <c r="L147" s="80"/>
      <c r="M147" s="80"/>
    </row>
    <row r="148" spans="2:13" s="30" customFormat="1" ht="19.5" customHeight="1" x14ac:dyDescent="0.2">
      <c r="B148" s="462"/>
      <c r="D148" s="463"/>
      <c r="E148" s="257"/>
      <c r="F148" s="463"/>
      <c r="G148" s="42"/>
      <c r="H148" s="36"/>
      <c r="J148" s="56"/>
      <c r="K148" s="38"/>
      <c r="L148" s="80"/>
      <c r="M148" s="80"/>
    </row>
    <row r="149" spans="2:13" s="30" customFormat="1" ht="19.5" customHeight="1" x14ac:dyDescent="0.2">
      <c r="B149" s="462"/>
      <c r="D149" s="463"/>
      <c r="E149" s="257"/>
      <c r="F149" s="463"/>
      <c r="G149" s="42"/>
      <c r="H149" s="36"/>
      <c r="J149" s="56"/>
      <c r="K149" s="38"/>
      <c r="L149" s="80"/>
      <c r="M149" s="80"/>
    </row>
    <row r="150" spans="2:13" s="30" customFormat="1" ht="19.5" customHeight="1" x14ac:dyDescent="0.2">
      <c r="B150" s="462"/>
      <c r="D150" s="463"/>
      <c r="E150" s="257"/>
      <c r="F150" s="463"/>
      <c r="G150" s="42"/>
      <c r="H150" s="36"/>
      <c r="J150" s="56"/>
      <c r="K150" s="38"/>
      <c r="L150" s="80"/>
      <c r="M150" s="80"/>
    </row>
    <row r="151" spans="2:13" s="30" customFormat="1" ht="19.5" customHeight="1" x14ac:dyDescent="0.2">
      <c r="B151" s="462"/>
      <c r="D151" s="463"/>
      <c r="E151" s="257"/>
      <c r="F151" s="463"/>
      <c r="G151" s="42"/>
      <c r="H151" s="36"/>
      <c r="J151" s="56"/>
      <c r="K151" s="38"/>
      <c r="L151" s="80"/>
      <c r="M151" s="80"/>
    </row>
    <row r="152" spans="2:13" s="30" customFormat="1" ht="19.5" customHeight="1" x14ac:dyDescent="0.2">
      <c r="B152" s="462"/>
      <c r="D152" s="463"/>
      <c r="E152" s="257"/>
      <c r="F152" s="463"/>
      <c r="G152" s="42"/>
      <c r="H152" s="36"/>
      <c r="J152" s="56"/>
      <c r="K152" s="38"/>
      <c r="L152" s="80"/>
      <c r="M152" s="80"/>
    </row>
    <row r="153" spans="2:13" s="30" customFormat="1" ht="19.5" customHeight="1" x14ac:dyDescent="0.2">
      <c r="B153" s="462"/>
      <c r="D153" s="463"/>
      <c r="E153" s="257"/>
      <c r="F153" s="463"/>
      <c r="G153" s="42"/>
      <c r="H153" s="36"/>
      <c r="J153" s="56"/>
      <c r="K153" s="38"/>
      <c r="L153" s="80"/>
      <c r="M153" s="80"/>
    </row>
    <row r="154" spans="2:13" s="30" customFormat="1" ht="19.5" customHeight="1" x14ac:dyDescent="0.2">
      <c r="B154" s="462"/>
      <c r="D154" s="463"/>
      <c r="E154" s="257"/>
      <c r="F154" s="463"/>
      <c r="G154" s="42"/>
      <c r="H154" s="36"/>
      <c r="J154" s="56"/>
      <c r="K154" s="38"/>
      <c r="L154" s="80"/>
      <c r="M154" s="80"/>
    </row>
    <row r="155" spans="2:13" s="30" customFormat="1" ht="19.5" customHeight="1" x14ac:dyDescent="0.2">
      <c r="B155" s="462"/>
      <c r="D155" s="463"/>
      <c r="E155" s="257"/>
      <c r="F155" s="463"/>
      <c r="G155" s="42"/>
      <c r="H155" s="36"/>
      <c r="J155" s="56"/>
      <c r="K155" s="38"/>
      <c r="L155" s="80"/>
      <c r="M155" s="80"/>
    </row>
    <row r="156" spans="2:13" s="30" customFormat="1" ht="19.5" customHeight="1" x14ac:dyDescent="0.2">
      <c r="B156" s="462"/>
      <c r="D156" s="463"/>
      <c r="E156" s="257"/>
      <c r="F156" s="463"/>
      <c r="G156" s="42"/>
      <c r="H156" s="36"/>
      <c r="J156" s="56"/>
      <c r="K156" s="38"/>
      <c r="L156" s="80"/>
      <c r="M156" s="80"/>
    </row>
    <row r="157" spans="2:13" s="30" customFormat="1" ht="19.5" customHeight="1" x14ac:dyDescent="0.2">
      <c r="B157" s="462"/>
      <c r="D157" s="463"/>
      <c r="E157" s="257"/>
      <c r="F157" s="463"/>
      <c r="G157" s="42"/>
      <c r="H157" s="36"/>
      <c r="J157" s="56"/>
      <c r="K157" s="38"/>
      <c r="L157" s="80"/>
      <c r="M157" s="80"/>
    </row>
    <row r="158" spans="2:13" s="30" customFormat="1" ht="19.5" customHeight="1" x14ac:dyDescent="0.2">
      <c r="B158" s="462"/>
      <c r="D158" s="463"/>
      <c r="E158" s="257"/>
      <c r="F158" s="463"/>
      <c r="G158" s="42"/>
      <c r="H158" s="36"/>
      <c r="J158" s="56"/>
      <c r="K158" s="38"/>
      <c r="L158" s="80"/>
      <c r="M158" s="80"/>
    </row>
    <row r="159" spans="2:13" s="30" customFormat="1" ht="19.5" customHeight="1" x14ac:dyDescent="0.2">
      <c r="B159" s="462"/>
      <c r="D159" s="463"/>
      <c r="E159" s="257"/>
      <c r="F159" s="463"/>
      <c r="G159" s="42"/>
      <c r="H159" s="36"/>
      <c r="J159" s="56"/>
      <c r="K159" s="38"/>
      <c r="L159" s="80"/>
      <c r="M159" s="80"/>
    </row>
    <row r="160" spans="2:13" s="30" customFormat="1" ht="19.5" customHeight="1" x14ac:dyDescent="0.2">
      <c r="B160" s="462"/>
      <c r="D160" s="463"/>
      <c r="E160" s="257"/>
      <c r="F160" s="463"/>
      <c r="G160" s="42"/>
      <c r="H160" s="36"/>
      <c r="J160" s="56"/>
      <c r="K160" s="38"/>
      <c r="L160" s="80"/>
      <c r="M160" s="80"/>
    </row>
    <row r="161" spans="2:13" s="30" customFormat="1" ht="19.5" customHeight="1" x14ac:dyDescent="0.2">
      <c r="B161" s="462"/>
      <c r="D161" s="463"/>
      <c r="E161" s="257"/>
      <c r="F161" s="463"/>
      <c r="G161" s="42"/>
      <c r="H161" s="36"/>
      <c r="J161" s="56"/>
      <c r="K161" s="38"/>
      <c r="L161" s="80"/>
      <c r="M161" s="80"/>
    </row>
    <row r="162" spans="2:13" s="30" customFormat="1" ht="19.5" customHeight="1" x14ac:dyDescent="0.2">
      <c r="B162" s="462"/>
      <c r="D162" s="463"/>
      <c r="E162" s="257"/>
      <c r="F162" s="463"/>
      <c r="G162" s="42"/>
      <c r="H162" s="36"/>
      <c r="J162" s="56"/>
      <c r="K162" s="38"/>
      <c r="L162" s="80"/>
      <c r="M162" s="80"/>
    </row>
    <row r="163" spans="2:13" s="30" customFormat="1" ht="19.5" customHeight="1" x14ac:dyDescent="0.2">
      <c r="B163" s="462"/>
      <c r="D163" s="463"/>
      <c r="E163" s="257"/>
      <c r="F163" s="463"/>
      <c r="G163" s="42"/>
      <c r="H163" s="36"/>
      <c r="J163" s="56"/>
      <c r="K163" s="38"/>
      <c r="L163" s="80"/>
      <c r="M163" s="80"/>
    </row>
    <row r="164" spans="2:13" s="30" customFormat="1" ht="19.5" customHeight="1" x14ac:dyDescent="0.2">
      <c r="B164" s="462"/>
      <c r="D164" s="463"/>
      <c r="E164" s="257"/>
      <c r="F164" s="463"/>
      <c r="G164" s="42"/>
      <c r="H164" s="36"/>
      <c r="J164" s="56"/>
      <c r="K164" s="38"/>
      <c r="L164" s="80"/>
      <c r="M164" s="80"/>
    </row>
    <row r="165" spans="2:13" s="30" customFormat="1" ht="19.5" customHeight="1" x14ac:dyDescent="0.2">
      <c r="B165" s="462"/>
      <c r="D165" s="463"/>
      <c r="E165" s="257"/>
      <c r="F165" s="463"/>
      <c r="G165" s="42"/>
      <c r="H165" s="36"/>
      <c r="J165" s="56"/>
      <c r="K165" s="38"/>
      <c r="L165" s="80"/>
      <c r="M165" s="80"/>
    </row>
    <row r="166" spans="2:13" s="30" customFormat="1" ht="19.5" customHeight="1" x14ac:dyDescent="0.2">
      <c r="B166" s="462"/>
      <c r="D166" s="463"/>
      <c r="E166" s="257"/>
      <c r="F166" s="463"/>
      <c r="G166" s="42"/>
      <c r="H166" s="36"/>
      <c r="J166" s="56"/>
      <c r="K166" s="38"/>
      <c r="L166" s="80"/>
      <c r="M166" s="80"/>
    </row>
    <row r="167" spans="2:13" s="30" customFormat="1" ht="19.5" customHeight="1" x14ac:dyDescent="0.2">
      <c r="B167" s="462"/>
      <c r="D167" s="463"/>
      <c r="E167" s="257"/>
      <c r="F167" s="463"/>
      <c r="G167" s="42"/>
      <c r="H167" s="36"/>
      <c r="J167" s="56"/>
      <c r="K167" s="38"/>
      <c r="L167" s="80"/>
      <c r="M167" s="80"/>
    </row>
    <row r="168" spans="2:13" s="30" customFormat="1" ht="19.5" customHeight="1" x14ac:dyDescent="0.2">
      <c r="B168" s="462"/>
      <c r="D168" s="463"/>
      <c r="E168" s="257"/>
      <c r="F168" s="463"/>
      <c r="G168" s="42"/>
      <c r="H168" s="36"/>
      <c r="J168" s="56"/>
      <c r="K168" s="38"/>
      <c r="L168" s="80"/>
      <c r="M168" s="80"/>
    </row>
    <row r="169" spans="2:13" s="30" customFormat="1" ht="19.5" customHeight="1" x14ac:dyDescent="0.2">
      <c r="B169" s="462"/>
      <c r="D169" s="463"/>
      <c r="E169" s="257"/>
      <c r="F169" s="463"/>
      <c r="G169" s="42"/>
      <c r="H169" s="36"/>
      <c r="J169" s="56"/>
      <c r="K169" s="38"/>
      <c r="L169" s="80"/>
      <c r="M169" s="80"/>
    </row>
  </sheetData>
  <mergeCells count="8">
    <mergeCell ref="B66:F66"/>
    <mergeCell ref="G66:G69"/>
    <mergeCell ref="B67:F69"/>
    <mergeCell ref="E2:G2"/>
    <mergeCell ref="B5:F5"/>
    <mergeCell ref="G5:G8"/>
    <mergeCell ref="B6:F8"/>
    <mergeCell ref="E63:G63"/>
  </mergeCells>
  <pageMargins left="0.62992125984251968" right="0.43307086614173229" top="0.62992125984251968" bottom="0.55118110236220474" header="0.51181102362204722" footer="0.31496062992125984"/>
  <pageSetup paperSize="9" scale="76"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1" max="7" man="1"/>
  </rowBreaks>
  <extLst>
    <ext xmlns:x14="http://schemas.microsoft.com/office/spreadsheetml/2009/9/main" uri="{78C0D931-6437-407d-A8EE-F0AAD7539E65}">
      <x14:conditionalFormattings>
        <x14:conditionalFormatting xmlns:xm="http://schemas.microsoft.com/office/excel/2006/main">
          <x14:cfRule type="expression" priority="4" id="{1031D80B-74A5-43D7-9A5D-B8C8ECA9FB6B}">
            <xm:f>AND(Information!$C$8=FALSE,$D27&lt;&gt;"P C Sum",$D27&lt;&gt;"PC Sum",$D27&lt;&gt;"P Sum",$D27&lt;&gt;"Prov Sum")</xm:f>
            <x14:dxf>
              <font>
                <strike val="0"/>
                <color theme="0"/>
              </font>
              <numFmt numFmtId="4" formatCode="#,##0.00"/>
            </x14:dxf>
          </x14:cfRule>
          <xm:sqref>F27:G39 F50:F57 F40 G40:G57 F58:G60 G70:G169</xm:sqref>
        </x14:conditionalFormatting>
        <x14:conditionalFormatting xmlns:xm="http://schemas.microsoft.com/office/excel/2006/main">
          <x14:cfRule type="expression" priority="3" id="{DD763228-0DD5-42C1-905C-70A8EEF04710}">
            <xm:f>AND(Information!$C$8=FALSE,$D61&lt;&gt;"P C Sum",$D61&lt;&gt;"PC Sum",$D61&lt;&gt;"P Sum",$D61&lt;&gt;"Prov Sum")</xm:f>
            <x14:dxf>
              <font>
                <strike val="0"/>
                <color theme="0"/>
              </font>
              <numFmt numFmtId="4" formatCode="#,##0.00"/>
            </x14:dxf>
          </x14:cfRule>
          <xm:sqref>G61:G62</xm:sqref>
        </x14:conditionalFormatting>
        <x14:conditionalFormatting xmlns:xm="http://schemas.microsoft.com/office/excel/2006/main">
          <x14:cfRule type="expression" priority="2" id="{CCAB910D-A263-4ACE-8ABD-10BA715A2182}">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1" id="{B8D9729C-56FC-432C-B950-AF06CF2FD5D7}">
            <xm:f>AND(Information!$C$8=FALSE,$D19&lt;&gt;"P C Sum",$D19&lt;&gt;"PC Sum",$D19&lt;&gt;"P Sum",$D19&lt;&gt;"Prov Sum")</xm:f>
            <x14:dxf>
              <font>
                <strike val="0"/>
                <color theme="0"/>
              </font>
              <numFmt numFmtId="4" formatCode="#,##0.00"/>
            </x14:dxf>
          </x14:cfRule>
          <xm:sqref>F19:G19</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D782-A146-4E66-81F5-847AFB5FD50B}">
  <sheetPr>
    <tabColor theme="9" tint="0.79998168889431442"/>
  </sheetPr>
  <dimension ref="B1:M60"/>
  <sheetViews>
    <sheetView view="pageBreakPreview" topLeftCell="A35" zoomScaleNormal="125" zoomScaleSheetLayoutView="100" zoomScalePageLayoutView="125" workbookViewId="0">
      <selection activeCell="F16" sqref="F16:F44"/>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13.42578125" style="1" bestFit="1" customWidth="1"/>
    <col min="12" max="16384" width="8.85546875" style="1"/>
  </cols>
  <sheetData>
    <row r="1" spans="2:13" x14ac:dyDescent="0.2">
      <c r="G1" s="166">
        <f>MAX(G9:G500)</f>
        <v>0</v>
      </c>
    </row>
    <row r="2" spans="2:13" x14ac:dyDescent="0.2">
      <c r="B2" s="2" t="str">
        <f>Client1</f>
        <v>Province of KwaZulu-Natal</v>
      </c>
      <c r="E2" s="703" t="str">
        <f>"Contract No. "&amp;ContractNo</f>
        <v>Contract No. ZNB02287/00000/00/MET/INF/24/T</v>
      </c>
      <c r="F2" s="703"/>
      <c r="G2" s="703"/>
      <c r="J2" s="293"/>
      <c r="K2" s="293" t="e">
        <f>MAX(K3:K245)</f>
        <v>#NAME?</v>
      </c>
      <c r="L2" s="293"/>
      <c r="M2" s="294"/>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8</v>
      </c>
      <c r="C5" s="699"/>
      <c r="D5" s="699"/>
      <c r="E5" s="699"/>
      <c r="F5" s="699"/>
      <c r="G5" s="695" t="str">
        <f>"CHAPTER "&amp;B11</f>
        <v>CHAPTER C11.2</v>
      </c>
      <c r="H5" s="6"/>
    </row>
    <row r="6" spans="2:13" ht="7.5" customHeight="1" x14ac:dyDescent="0.2">
      <c r="B6" s="691" t="str">
        <f>ContractDescription</f>
        <v>PROVISION OF ROUTINE AND SAFETY MAINTENANCE ON MIAN ROAD P3/1 (KM 69.00 TO KM 77.96), P3/2 (KM 0.00 TO KM 11.50), P21/2(KM 0.00 TO KM 29.83 IN THE ETHEKWINI METRO - DURBAN REGION</v>
      </c>
      <c r="C6" s="692"/>
      <c r="D6" s="692"/>
      <c r="E6" s="692"/>
      <c r="F6" s="692"/>
      <c r="G6" s="696"/>
      <c r="H6" s="8"/>
    </row>
    <row r="7" spans="2:13" ht="12.75" customHeight="1" x14ac:dyDescent="0.2">
      <c r="B7" s="691"/>
      <c r="C7" s="692"/>
      <c r="D7" s="692"/>
      <c r="E7" s="692"/>
      <c r="F7" s="692"/>
      <c r="G7" s="696"/>
      <c r="H7" s="8"/>
    </row>
    <row r="8" spans="2:13" s="9" customFormat="1" ht="7.5" customHeight="1" x14ac:dyDescent="0.2">
      <c r="B8" s="693"/>
      <c r="C8" s="694"/>
      <c r="D8" s="694"/>
      <c r="E8" s="694"/>
      <c r="F8" s="694"/>
      <c r="G8" s="69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17" t="str">
        <f t="shared" ref="G10:G44" si="0">IF(D10="","",E10*F10)</f>
        <v/>
      </c>
      <c r="H10" s="18"/>
      <c r="J10" s="16"/>
      <c r="K10" s="16"/>
      <c r="L10" s="16"/>
      <c r="M10" s="16"/>
    </row>
    <row r="11" spans="2:13" x14ac:dyDescent="0.2">
      <c r="B11" s="47" t="s">
        <v>316</v>
      </c>
      <c r="C11" s="20" t="s">
        <v>317</v>
      </c>
      <c r="D11" s="15"/>
      <c r="E11" s="15"/>
      <c r="F11" s="16"/>
      <c r="G11" s="25" t="str">
        <f t="shared" si="0"/>
        <v/>
      </c>
      <c r="H11" s="18"/>
      <c r="J11" s="41"/>
      <c r="K11" s="41"/>
      <c r="L11" s="41"/>
      <c r="M11" s="41"/>
    </row>
    <row r="12" spans="2:13" x14ac:dyDescent="0.2">
      <c r="B12" s="51"/>
      <c r="C12" s="14"/>
      <c r="D12" s="15"/>
      <c r="E12" s="15"/>
      <c r="F12" s="16"/>
      <c r="G12" s="25" t="str">
        <f t="shared" si="0"/>
        <v/>
      </c>
      <c r="H12" s="18"/>
      <c r="J12" s="41"/>
      <c r="K12" s="41"/>
      <c r="L12" s="41"/>
      <c r="M12" s="41"/>
    </row>
    <row r="13" spans="2:13" x14ac:dyDescent="0.2">
      <c r="B13" s="51" t="s">
        <v>213</v>
      </c>
      <c r="C13" s="14" t="s">
        <v>174</v>
      </c>
      <c r="D13" s="15"/>
      <c r="E13" s="15"/>
      <c r="F13" s="16"/>
      <c r="G13" s="25" t="str">
        <f t="shared" si="0"/>
        <v/>
      </c>
      <c r="H13" s="18"/>
      <c r="J13" s="24"/>
      <c r="K13" s="46" t="str">
        <f t="shared" ref="K13:K50" si="1">IF(J13="","",J13*E13)</f>
        <v/>
      </c>
      <c r="L13" s="24"/>
      <c r="M13" s="24"/>
    </row>
    <row r="14" spans="2:13" x14ac:dyDescent="0.2">
      <c r="B14" s="51"/>
      <c r="C14" s="14"/>
      <c r="D14" s="15"/>
      <c r="E14" s="15"/>
      <c r="F14" s="16"/>
      <c r="G14" s="25" t="str">
        <f t="shared" si="0"/>
        <v/>
      </c>
      <c r="H14" s="18"/>
      <c r="J14" s="41"/>
      <c r="K14" s="46" t="str">
        <f t="shared" si="1"/>
        <v/>
      </c>
      <c r="L14" s="41"/>
      <c r="M14" s="41"/>
    </row>
    <row r="15" spans="2:13" ht="25.5" x14ac:dyDescent="0.2">
      <c r="B15" s="59" t="s">
        <v>212</v>
      </c>
      <c r="C15" s="14" t="s">
        <v>173</v>
      </c>
      <c r="D15" s="15"/>
      <c r="E15" s="15"/>
      <c r="F15" s="16"/>
      <c r="G15" s="25" t="str">
        <f t="shared" si="0"/>
        <v/>
      </c>
      <c r="H15" s="18"/>
      <c r="J15" s="41"/>
      <c r="K15" s="46" t="str">
        <f t="shared" si="1"/>
        <v/>
      </c>
      <c r="L15" s="41"/>
      <c r="M15" s="41"/>
    </row>
    <row r="16" spans="2:13" x14ac:dyDescent="0.2">
      <c r="B16" s="59"/>
      <c r="C16" s="14"/>
      <c r="D16" s="15"/>
      <c r="E16" s="26"/>
      <c r="F16" s="16"/>
      <c r="G16" s="25" t="str">
        <f t="shared" si="0"/>
        <v/>
      </c>
      <c r="H16" s="18"/>
      <c r="J16" s="41"/>
      <c r="K16" s="46" t="str">
        <f t="shared" si="1"/>
        <v/>
      </c>
      <c r="L16" s="41"/>
      <c r="M16" s="41"/>
    </row>
    <row r="17" spans="2:13" x14ac:dyDescent="0.2">
      <c r="B17" s="51" t="s">
        <v>34</v>
      </c>
      <c r="C17" s="14" t="s">
        <v>211</v>
      </c>
      <c r="D17" s="22" t="s">
        <v>168</v>
      </c>
      <c r="E17" s="26">
        <v>460</v>
      </c>
      <c r="F17" s="16"/>
      <c r="G17" s="25">
        <f t="shared" si="0"/>
        <v>0</v>
      </c>
      <c r="H17" s="18"/>
      <c r="J17" s="41">
        <f>_Excavation</f>
        <v>0</v>
      </c>
      <c r="K17" s="46">
        <f t="shared" si="1"/>
        <v>0</v>
      </c>
      <c r="L17" s="41"/>
      <c r="M17" s="41"/>
    </row>
    <row r="18" spans="2:13" hidden="1" x14ac:dyDescent="0.2">
      <c r="B18" s="59"/>
      <c r="C18" s="14"/>
      <c r="D18" s="15"/>
      <c r="E18" s="26"/>
      <c r="F18" s="16"/>
      <c r="G18" s="25" t="str">
        <f t="shared" si="0"/>
        <v/>
      </c>
      <c r="H18" s="60"/>
      <c r="J18" s="41"/>
      <c r="K18" s="46" t="str">
        <f t="shared" si="1"/>
        <v/>
      </c>
      <c r="L18" s="41"/>
      <c r="M18" s="41"/>
    </row>
    <row r="19" spans="2:13" hidden="1" x14ac:dyDescent="0.2">
      <c r="B19" s="51" t="s">
        <v>35</v>
      </c>
      <c r="C19" s="28" t="s">
        <v>210</v>
      </c>
      <c r="D19" s="22" t="s">
        <v>181</v>
      </c>
      <c r="E19" s="26">
        <v>0</v>
      </c>
      <c r="F19" s="16"/>
      <c r="G19" s="25">
        <f t="shared" si="0"/>
        <v>0</v>
      </c>
      <c r="H19" s="63"/>
      <c r="J19" s="41"/>
      <c r="K19" s="46" t="str">
        <f t="shared" si="1"/>
        <v/>
      </c>
      <c r="L19" s="41"/>
      <c r="M19" s="41"/>
    </row>
    <row r="20" spans="2:13" hidden="1" x14ac:dyDescent="0.2">
      <c r="B20" s="59"/>
      <c r="C20" s="27"/>
      <c r="D20" s="61"/>
      <c r="E20" s="26"/>
      <c r="F20" s="16"/>
      <c r="G20" s="25" t="str">
        <f t="shared" si="0"/>
        <v/>
      </c>
      <c r="H20" s="63"/>
      <c r="J20" s="41"/>
      <c r="K20" s="46" t="str">
        <f t="shared" si="1"/>
        <v/>
      </c>
      <c r="L20" s="41"/>
      <c r="M20" s="41"/>
    </row>
    <row r="21" spans="2:13" hidden="1" x14ac:dyDescent="0.2">
      <c r="B21" s="51" t="s">
        <v>40</v>
      </c>
      <c r="C21" s="14" t="s">
        <v>209</v>
      </c>
      <c r="D21" s="22" t="s">
        <v>168</v>
      </c>
      <c r="E21" s="26">
        <v>0</v>
      </c>
      <c r="F21" s="16"/>
      <c r="G21" s="25">
        <f t="shared" si="0"/>
        <v>0</v>
      </c>
      <c r="H21" s="63"/>
      <c r="J21" s="41"/>
      <c r="K21" s="46" t="str">
        <f t="shared" si="1"/>
        <v/>
      </c>
      <c r="L21" s="41"/>
      <c r="M21" s="41"/>
    </row>
    <row r="22" spans="2:13" x14ac:dyDescent="0.2">
      <c r="B22" s="59"/>
      <c r="C22" s="27"/>
      <c r="D22" s="61"/>
      <c r="E22" s="26"/>
      <c r="F22" s="16"/>
      <c r="G22" s="25" t="str">
        <f t="shared" si="0"/>
        <v/>
      </c>
      <c r="H22" s="63"/>
      <c r="J22" s="41"/>
      <c r="K22" s="46" t="str">
        <f t="shared" si="1"/>
        <v/>
      </c>
      <c r="L22" s="41"/>
      <c r="M22" s="41"/>
    </row>
    <row r="23" spans="2:13" ht="25.5" x14ac:dyDescent="0.2">
      <c r="B23" s="51" t="s">
        <v>208</v>
      </c>
      <c r="C23" s="14" t="s">
        <v>172</v>
      </c>
      <c r="D23" s="22" t="s">
        <v>168</v>
      </c>
      <c r="E23" s="391">
        <v>46</v>
      </c>
      <c r="F23" s="16"/>
      <c r="G23" s="25">
        <f t="shared" si="0"/>
        <v>0</v>
      </c>
      <c r="H23" s="63"/>
      <c r="J23" s="41"/>
      <c r="K23" s="46" t="str">
        <f t="shared" si="1"/>
        <v/>
      </c>
      <c r="L23" s="41"/>
      <c r="M23" s="41"/>
    </row>
    <row r="24" spans="2:13" x14ac:dyDescent="0.2">
      <c r="B24" s="59"/>
      <c r="C24" s="14"/>
      <c r="D24" s="15"/>
      <c r="E24" s="391"/>
      <c r="F24" s="16"/>
      <c r="G24" s="25" t="str">
        <f t="shared" si="0"/>
        <v/>
      </c>
      <c r="H24" s="63"/>
      <c r="J24" s="41"/>
      <c r="K24" s="46" t="str">
        <f t="shared" si="1"/>
        <v/>
      </c>
      <c r="L24" s="41"/>
      <c r="M24" s="41"/>
    </row>
    <row r="25" spans="2:13" ht="38.25" x14ac:dyDescent="0.2">
      <c r="B25" s="51" t="s">
        <v>207</v>
      </c>
      <c r="C25" s="28" t="s">
        <v>206</v>
      </c>
      <c r="D25" s="22" t="s">
        <v>168</v>
      </c>
      <c r="E25" s="391">
        <v>180</v>
      </c>
      <c r="F25" s="16"/>
      <c r="G25" s="25">
        <f t="shared" si="0"/>
        <v>0</v>
      </c>
      <c r="H25" s="18"/>
      <c r="J25" s="41">
        <f>_Excavation</f>
        <v>0</v>
      </c>
      <c r="K25" s="46">
        <f t="shared" si="1"/>
        <v>0</v>
      </c>
      <c r="L25" s="41"/>
      <c r="M25" s="41"/>
    </row>
    <row r="26" spans="2:13" x14ac:dyDescent="0.2">
      <c r="B26" s="59"/>
      <c r="C26" s="14"/>
      <c r="D26" s="15"/>
      <c r="E26" s="26"/>
      <c r="F26" s="16"/>
      <c r="G26" s="25" t="str">
        <f t="shared" si="0"/>
        <v/>
      </c>
      <c r="H26" s="18"/>
      <c r="J26" s="41"/>
      <c r="K26" s="46" t="str">
        <f t="shared" si="1"/>
        <v/>
      </c>
      <c r="L26" s="41"/>
      <c r="M26" s="41"/>
    </row>
    <row r="27" spans="2:13" ht="38.25" hidden="1" x14ac:dyDescent="0.2">
      <c r="B27" s="51" t="s">
        <v>205</v>
      </c>
      <c r="C27" s="14" t="s">
        <v>204</v>
      </c>
      <c r="D27" s="22" t="s">
        <v>168</v>
      </c>
      <c r="E27" s="26">
        <v>0</v>
      </c>
      <c r="F27" s="16"/>
      <c r="G27" s="25">
        <f t="shared" si="0"/>
        <v>0</v>
      </c>
      <c r="H27" s="58"/>
      <c r="J27" s="41">
        <f>_Excavation</f>
        <v>0</v>
      </c>
      <c r="K27" s="46">
        <f t="shared" si="1"/>
        <v>0</v>
      </c>
      <c r="L27" s="41"/>
      <c r="M27" s="41"/>
    </row>
    <row r="28" spans="2:13" hidden="1" x14ac:dyDescent="0.2">
      <c r="B28" s="59"/>
      <c r="C28" s="14"/>
      <c r="D28" s="15"/>
      <c r="E28" s="26"/>
      <c r="F28" s="16"/>
      <c r="G28" s="25" t="str">
        <f t="shared" si="0"/>
        <v/>
      </c>
      <c r="H28" s="18"/>
      <c r="J28" s="41"/>
      <c r="K28" s="46" t="str">
        <f t="shared" si="1"/>
        <v/>
      </c>
      <c r="L28" s="41"/>
      <c r="M28" s="41"/>
    </row>
    <row r="29" spans="2:13" ht="25.5" x14ac:dyDescent="0.2">
      <c r="B29" s="51" t="s">
        <v>203</v>
      </c>
      <c r="C29" s="14" t="s">
        <v>202</v>
      </c>
      <c r="D29" s="22" t="s">
        <v>167</v>
      </c>
      <c r="E29" s="26">
        <v>380</v>
      </c>
      <c r="F29" s="16"/>
      <c r="G29" s="25">
        <f t="shared" si="0"/>
        <v>0</v>
      </c>
      <c r="H29" s="18"/>
      <c r="J29" s="41">
        <f>_Excavation*10%</f>
        <v>0</v>
      </c>
      <c r="K29" s="46">
        <f t="shared" si="1"/>
        <v>0</v>
      </c>
      <c r="L29" s="41"/>
      <c r="M29" s="41"/>
    </row>
    <row r="30" spans="2:13" x14ac:dyDescent="0.2">
      <c r="B30" s="59"/>
      <c r="C30" s="14"/>
      <c r="D30" s="15"/>
      <c r="E30" s="26"/>
      <c r="F30" s="16"/>
      <c r="G30" s="25" t="str">
        <f t="shared" si="0"/>
        <v/>
      </c>
      <c r="H30" s="18"/>
      <c r="J30" s="41"/>
      <c r="K30" s="46" t="str">
        <f t="shared" si="1"/>
        <v/>
      </c>
      <c r="L30" s="41"/>
      <c r="M30" s="41"/>
    </row>
    <row r="31" spans="2:13" x14ac:dyDescent="0.2">
      <c r="B31" s="51" t="s">
        <v>201</v>
      </c>
      <c r="C31" s="14" t="s">
        <v>200</v>
      </c>
      <c r="D31" s="22"/>
      <c r="E31" s="26"/>
      <c r="F31" s="16"/>
      <c r="G31" s="25" t="str">
        <f t="shared" si="0"/>
        <v/>
      </c>
      <c r="H31" s="18"/>
      <c r="J31" s="41"/>
      <c r="K31" s="46" t="str">
        <f t="shared" si="1"/>
        <v/>
      </c>
      <c r="L31" s="41"/>
      <c r="M31" s="41"/>
    </row>
    <row r="32" spans="2:13" x14ac:dyDescent="0.2">
      <c r="B32" s="59"/>
      <c r="C32" s="14"/>
      <c r="D32" s="15"/>
      <c r="E32" s="26"/>
      <c r="F32" s="16"/>
      <c r="G32" s="25" t="str">
        <f t="shared" si="0"/>
        <v/>
      </c>
      <c r="H32" s="18"/>
      <c r="J32" s="41"/>
      <c r="K32" s="46" t="str">
        <f t="shared" si="1"/>
        <v/>
      </c>
      <c r="L32" s="41"/>
      <c r="M32" s="41"/>
    </row>
    <row r="33" spans="2:13" x14ac:dyDescent="0.2">
      <c r="B33" s="51" t="s">
        <v>1000</v>
      </c>
      <c r="C33" s="28" t="s">
        <v>1001</v>
      </c>
      <c r="D33" s="22"/>
      <c r="E33" s="26"/>
      <c r="F33" s="16"/>
      <c r="G33" s="25" t="str">
        <f t="shared" si="0"/>
        <v/>
      </c>
      <c r="H33" s="58"/>
      <c r="J33" s="41"/>
      <c r="K33" s="46" t="str">
        <f t="shared" si="1"/>
        <v/>
      </c>
      <c r="L33" s="41"/>
      <c r="M33" s="41"/>
    </row>
    <row r="34" spans="2:13" x14ac:dyDescent="0.2">
      <c r="B34" s="51"/>
      <c r="C34" s="120"/>
      <c r="D34" s="22"/>
      <c r="E34" s="26"/>
      <c r="F34" s="16"/>
      <c r="G34" s="25" t="str">
        <f t="shared" si="0"/>
        <v/>
      </c>
      <c r="H34" s="58"/>
      <c r="J34" s="41"/>
      <c r="K34" s="46" t="str">
        <f t="shared" si="1"/>
        <v/>
      </c>
      <c r="L34" s="41"/>
      <c r="M34" s="41"/>
    </row>
    <row r="35" spans="2:13" ht="36" x14ac:dyDescent="0.2">
      <c r="B35" s="51"/>
      <c r="C35" s="156" t="s">
        <v>403</v>
      </c>
      <c r="D35" s="157" t="s">
        <v>181</v>
      </c>
      <c r="E35" s="26">
        <v>720</v>
      </c>
      <c r="F35" s="16"/>
      <c r="G35" s="25">
        <f t="shared" si="0"/>
        <v>0</v>
      </c>
      <c r="H35" s="58"/>
      <c r="J35" s="338" t="e">
        <f>_Gabion</f>
        <v>#NAME?</v>
      </c>
      <c r="K35" s="46" t="e">
        <f t="shared" si="1"/>
        <v>#NAME?</v>
      </c>
      <c r="L35" s="41"/>
      <c r="M35" s="41"/>
    </row>
    <row r="36" spans="2:13" x14ac:dyDescent="0.2">
      <c r="B36" s="59"/>
      <c r="C36" s="14"/>
      <c r="D36" s="15"/>
      <c r="E36" s="15"/>
      <c r="F36" s="16"/>
      <c r="G36" s="25" t="str">
        <f t="shared" si="0"/>
        <v/>
      </c>
      <c r="H36" s="18"/>
      <c r="J36" s="41"/>
      <c r="K36" s="46" t="str">
        <f t="shared" si="1"/>
        <v/>
      </c>
      <c r="L36" s="41"/>
      <c r="M36" s="41"/>
    </row>
    <row r="37" spans="2:13" x14ac:dyDescent="0.2">
      <c r="B37" s="51" t="s">
        <v>1002</v>
      </c>
      <c r="C37" s="14" t="s">
        <v>1003</v>
      </c>
      <c r="D37" s="22"/>
      <c r="E37" s="15"/>
      <c r="F37" s="16"/>
      <c r="G37" s="25" t="str">
        <f t="shared" si="0"/>
        <v/>
      </c>
      <c r="H37" s="18"/>
      <c r="J37" s="41"/>
      <c r="K37" s="46" t="str">
        <f t="shared" si="1"/>
        <v/>
      </c>
      <c r="L37" s="41"/>
      <c r="M37" s="41"/>
    </row>
    <row r="38" spans="2:13" x14ac:dyDescent="0.2">
      <c r="B38" s="51"/>
      <c r="C38" s="14"/>
      <c r="D38" s="22"/>
      <c r="E38" s="15"/>
      <c r="F38" s="16"/>
      <c r="G38" s="25" t="str">
        <f t="shared" si="0"/>
        <v/>
      </c>
      <c r="H38" s="18"/>
      <c r="J38" s="41"/>
      <c r="K38" s="46" t="str">
        <f t="shared" si="1"/>
        <v/>
      </c>
      <c r="L38" s="41"/>
      <c r="M38" s="41"/>
    </row>
    <row r="39" spans="2:13" ht="36" x14ac:dyDescent="0.2">
      <c r="B39" s="51"/>
      <c r="C39" s="156" t="s">
        <v>404</v>
      </c>
      <c r="D39" s="157" t="s">
        <v>181</v>
      </c>
      <c r="E39" s="15">
        <v>240</v>
      </c>
      <c r="F39" s="16"/>
      <c r="G39" s="25">
        <f t="shared" si="0"/>
        <v>0</v>
      </c>
      <c r="H39" s="18"/>
      <c r="J39" s="338" t="e">
        <f>_Gabion</f>
        <v>#NAME?</v>
      </c>
      <c r="K39" s="46" t="e">
        <f t="shared" si="1"/>
        <v>#NAME?</v>
      </c>
      <c r="L39" s="41"/>
      <c r="M39" s="41"/>
    </row>
    <row r="40" spans="2:13" x14ac:dyDescent="0.2">
      <c r="B40" s="51"/>
      <c r="C40" s="14"/>
      <c r="D40" s="22"/>
      <c r="E40" s="15"/>
      <c r="F40" s="16"/>
      <c r="G40" s="25" t="str">
        <f t="shared" si="0"/>
        <v/>
      </c>
      <c r="H40" s="18"/>
      <c r="J40" s="41"/>
      <c r="K40" s="46" t="str">
        <f t="shared" si="1"/>
        <v/>
      </c>
      <c r="L40" s="41"/>
      <c r="M40" s="41"/>
    </row>
    <row r="41" spans="2:13" x14ac:dyDescent="0.2">
      <c r="B41" s="59"/>
      <c r="C41" s="14"/>
      <c r="D41" s="15"/>
      <c r="E41" s="15"/>
      <c r="F41" s="16"/>
      <c r="G41" s="25" t="str">
        <f t="shared" si="0"/>
        <v/>
      </c>
      <c r="H41" s="18"/>
      <c r="J41" s="41"/>
      <c r="K41" s="46" t="str">
        <f t="shared" si="1"/>
        <v/>
      </c>
      <c r="L41" s="41"/>
      <c r="M41" s="41"/>
    </row>
    <row r="42" spans="2:13" ht="25.5" x14ac:dyDescent="0.2">
      <c r="B42" s="51" t="s">
        <v>199</v>
      </c>
      <c r="C42" s="14" t="s">
        <v>405</v>
      </c>
      <c r="D42" s="22" t="s">
        <v>167</v>
      </c>
      <c r="E42" s="15">
        <v>1280</v>
      </c>
      <c r="F42" s="16"/>
      <c r="G42" s="25">
        <f t="shared" si="0"/>
        <v>0</v>
      </c>
      <c r="H42" s="18"/>
      <c r="J42" s="41">
        <f>_Geofabric</f>
        <v>0</v>
      </c>
      <c r="K42" s="46">
        <f t="shared" si="1"/>
        <v>0</v>
      </c>
      <c r="L42" s="41"/>
      <c r="M42" s="41"/>
    </row>
    <row r="43" spans="2:13" x14ac:dyDescent="0.2">
      <c r="B43" s="51"/>
      <c r="C43" s="14"/>
      <c r="D43" s="22"/>
      <c r="E43" s="15"/>
      <c r="F43" s="16"/>
      <c r="G43" s="25" t="str">
        <f t="shared" si="0"/>
        <v/>
      </c>
      <c r="H43" s="18"/>
      <c r="J43" s="41"/>
      <c r="K43" s="46" t="str">
        <f t="shared" si="1"/>
        <v/>
      </c>
      <c r="L43" s="41"/>
      <c r="M43" s="41"/>
    </row>
    <row r="44" spans="2:13" x14ac:dyDescent="0.2">
      <c r="B44" s="51"/>
      <c r="C44" s="14"/>
      <c r="D44" s="22"/>
      <c r="E44" s="15"/>
      <c r="F44" s="16"/>
      <c r="G44" s="25" t="str">
        <f t="shared" si="0"/>
        <v/>
      </c>
      <c r="H44" s="18"/>
      <c r="J44" s="41"/>
      <c r="K44" s="46" t="str">
        <f t="shared" si="1"/>
        <v/>
      </c>
      <c r="L44" s="41"/>
      <c r="M44" s="41"/>
    </row>
    <row r="45" spans="2:13" x14ac:dyDescent="0.2">
      <c r="B45" s="51"/>
      <c r="C45" s="14"/>
      <c r="D45" s="22"/>
      <c r="E45" s="15"/>
      <c r="F45" s="16"/>
      <c r="G45" s="25"/>
      <c r="H45" s="18"/>
      <c r="J45" s="41"/>
      <c r="K45" s="46" t="str">
        <f t="shared" si="1"/>
        <v/>
      </c>
      <c r="L45" s="41"/>
      <c r="M45" s="41"/>
    </row>
    <row r="46" spans="2:13" x14ac:dyDescent="0.2">
      <c r="B46" s="51"/>
      <c r="C46" s="14"/>
      <c r="D46" s="22"/>
      <c r="E46" s="15"/>
      <c r="F46" s="16"/>
      <c r="G46" s="25"/>
      <c r="H46" s="18"/>
      <c r="J46" s="41"/>
      <c r="K46" s="46" t="str">
        <f t="shared" si="1"/>
        <v/>
      </c>
      <c r="L46" s="41"/>
      <c r="M46" s="41"/>
    </row>
    <row r="47" spans="2:13" x14ac:dyDescent="0.2">
      <c r="B47" s="51"/>
      <c r="C47" s="14"/>
      <c r="D47" s="22"/>
      <c r="E47" s="15"/>
      <c r="F47" s="16"/>
      <c r="G47" s="25"/>
      <c r="H47" s="18"/>
      <c r="J47" s="1">
        <f>_Backfill</f>
        <v>0</v>
      </c>
      <c r="K47" s="46">
        <f t="shared" si="1"/>
        <v>0</v>
      </c>
    </row>
    <row r="48" spans="2:13" x14ac:dyDescent="0.2">
      <c r="B48" s="51"/>
      <c r="C48" s="14"/>
      <c r="D48" s="22"/>
      <c r="E48" s="15"/>
      <c r="F48" s="16"/>
      <c r="G48" s="25"/>
      <c r="H48" s="18"/>
      <c r="K48" s="46" t="str">
        <f t="shared" si="1"/>
        <v/>
      </c>
    </row>
    <row r="49" spans="2:11" x14ac:dyDescent="0.2">
      <c r="B49" s="51"/>
      <c r="C49" s="14"/>
      <c r="D49" s="22"/>
      <c r="E49" s="15"/>
      <c r="F49" s="16"/>
      <c r="G49" s="25"/>
      <c r="H49" s="18"/>
      <c r="K49" s="46" t="str">
        <f t="shared" si="1"/>
        <v/>
      </c>
    </row>
    <row r="50" spans="2:11" x14ac:dyDescent="0.2">
      <c r="B50" s="51"/>
      <c r="C50" s="14"/>
      <c r="D50" s="22"/>
      <c r="E50" s="15"/>
      <c r="F50" s="16"/>
      <c r="G50" s="25"/>
      <c r="H50" s="18"/>
      <c r="J50" s="1">
        <f>_Place</f>
        <v>0</v>
      </c>
      <c r="K50" s="46">
        <f t="shared" si="1"/>
        <v>0</v>
      </c>
    </row>
    <row r="51" spans="2:11" x14ac:dyDescent="0.2">
      <c r="B51" s="51"/>
      <c r="C51" s="14"/>
      <c r="D51" s="22"/>
      <c r="E51" s="15"/>
      <c r="F51" s="16"/>
      <c r="G51" s="25"/>
      <c r="H51" s="18"/>
    </row>
    <row r="52" spans="2:11" x14ac:dyDescent="0.2">
      <c r="B52" s="51"/>
      <c r="C52" s="14"/>
      <c r="D52" s="22"/>
      <c r="E52" s="15"/>
      <c r="F52" s="16"/>
      <c r="G52" s="25"/>
      <c r="H52" s="18"/>
    </row>
    <row r="53" spans="2:11" x14ac:dyDescent="0.2">
      <c r="B53" s="51"/>
      <c r="C53" s="14"/>
      <c r="D53" s="22"/>
      <c r="E53" s="15"/>
      <c r="F53" s="16"/>
      <c r="G53" s="25" t="str">
        <f>IF(D53="","",E53*F53)</f>
        <v/>
      </c>
      <c r="H53" s="18"/>
    </row>
    <row r="54" spans="2:11" x14ac:dyDescent="0.2">
      <c r="B54" s="51"/>
      <c r="C54" s="14"/>
      <c r="D54" s="22"/>
      <c r="E54" s="15"/>
      <c r="F54" s="16"/>
      <c r="G54" s="25" t="str">
        <f>IF(D54="","",E54*F54)</f>
        <v/>
      </c>
      <c r="H54" s="18"/>
    </row>
    <row r="55" spans="2:11" x14ac:dyDescent="0.2">
      <c r="B55" s="51"/>
      <c r="C55" s="14"/>
      <c r="D55" s="22"/>
      <c r="E55" s="15"/>
      <c r="F55" s="16"/>
      <c r="G55" s="25" t="str">
        <f>IF(D55="","",E55*F55)</f>
        <v/>
      </c>
      <c r="H55" s="18"/>
    </row>
    <row r="56" spans="2:11" x14ac:dyDescent="0.2">
      <c r="B56" s="51"/>
      <c r="C56" s="14"/>
      <c r="D56" s="22"/>
      <c r="E56" s="15"/>
      <c r="F56" s="16"/>
      <c r="G56" s="25" t="str">
        <f>IF(D56="","",E56*F56)</f>
        <v/>
      </c>
      <c r="H56" s="18"/>
    </row>
    <row r="57" spans="2:11" x14ac:dyDescent="0.2">
      <c r="B57" s="51"/>
      <c r="C57" s="14"/>
      <c r="D57" s="22"/>
      <c r="E57" s="15"/>
      <c r="F57" s="16"/>
      <c r="G57" s="25"/>
      <c r="H57" s="18"/>
    </row>
    <row r="58" spans="2:11" x14ac:dyDescent="0.2">
      <c r="B58" s="59"/>
      <c r="C58" s="14"/>
      <c r="D58" s="15"/>
      <c r="E58" s="15"/>
      <c r="F58" s="16"/>
      <c r="G58" s="25"/>
      <c r="H58" s="18"/>
    </row>
    <row r="59" spans="2:11" x14ac:dyDescent="0.2">
      <c r="B59" s="59"/>
      <c r="C59" s="14"/>
      <c r="D59" s="15"/>
      <c r="E59" s="15"/>
      <c r="F59" s="16"/>
      <c r="G59" s="25"/>
      <c r="H59" s="18"/>
    </row>
    <row r="60" spans="2:11" s="30" customFormat="1" ht="24.75" customHeight="1" x14ac:dyDescent="0.2">
      <c r="B60" s="77" t="str">
        <f>$B$11</f>
        <v>C11.2</v>
      </c>
      <c r="C60" s="32" t="s">
        <v>700</v>
      </c>
      <c r="D60" s="33"/>
      <c r="E60" s="34"/>
      <c r="F60" s="33"/>
      <c r="G60" s="352">
        <f>SUM(G10:G59)</f>
        <v>0</v>
      </c>
      <c r="H60" s="36"/>
      <c r="K60" s="35" t="e">
        <f>SUM(K10:K59)</f>
        <v>#NAME?</v>
      </c>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D28CBAAB-A1ED-421B-8022-17913271FCD9}">
            <xm:f>AND(Information!$C$8=FALSE,$D58&lt;&gt;"P C Sum",$D58&lt;&gt;"PC Sum",$D58&lt;&gt;"P Sum",$D58&lt;&gt;"Prov Sum")</xm:f>
            <x14:dxf>
              <font>
                <strike val="0"/>
                <color theme="0"/>
              </font>
              <numFmt numFmtId="4" formatCode="#,##0.00"/>
            </x14:dxf>
          </x14:cfRule>
          <xm:sqref>F58:G59</xm:sqref>
        </x14:conditionalFormatting>
        <x14:conditionalFormatting xmlns:xm="http://schemas.microsoft.com/office/excel/2006/main">
          <x14:cfRule type="expression" priority="2" id="{90B87D23-53C1-478A-932A-383852D189B0}">
            <xm:f>AND(Information!$C$8=FALSE,$D60&lt;&gt;"P C Sum",$D60&lt;&gt;"PC Sum",$D60&lt;&gt;"P Sum",$D60&lt;&gt;"Prov Sum")</xm:f>
            <x14:dxf>
              <font>
                <strike val="0"/>
                <color theme="0"/>
              </font>
              <numFmt numFmtId="4" formatCode="#,##0.00"/>
            </x14:dxf>
          </x14:cfRule>
          <xm:sqref>G60</xm:sqref>
        </x14:conditionalFormatting>
        <x14:conditionalFormatting xmlns:xm="http://schemas.microsoft.com/office/excel/2006/main">
          <x14:cfRule type="expression" priority="1" id="{7DEFD779-7B9D-44B6-8825-646AF1255F0E}">
            <xm:f>AND(Information!$C$8=FALSE,$D11&lt;&gt;"P C Sum",$D11&lt;&gt;"PC Sum",$D11&lt;&gt;"P Sum",$D11&lt;&gt;"Prov Sum")</xm:f>
            <x14:dxf>
              <font>
                <strike val="0"/>
                <color theme="0"/>
              </font>
              <numFmt numFmtId="4" formatCode="#,##0.00"/>
            </x14:dxf>
          </x14:cfRule>
          <xm:sqref>F11:G57</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DE07-EC67-4E78-9050-9622742173F9}">
  <sheetPr>
    <tabColor theme="9" tint="0.79998168889431442"/>
  </sheetPr>
  <dimension ref="B1:P117"/>
  <sheetViews>
    <sheetView view="pageBreakPreview" zoomScaleNormal="125" zoomScaleSheetLayoutView="100" zoomScalePageLayoutView="125" workbookViewId="0">
      <pane xSplit="4" ySplit="2" topLeftCell="E81" activePane="bottomRight" state="frozen"/>
      <selection activeCell="G5" sqref="G5:G8"/>
      <selection pane="topRight" activeCell="G5" sqref="G5:G8"/>
      <selection pane="bottomLeft" activeCell="G5" sqref="G5:G8"/>
      <selection pane="bottomRight" activeCell="F79" sqref="F79:F117"/>
    </sheetView>
  </sheetViews>
  <sheetFormatPr defaultColWidth="8.85546875" defaultRowHeight="12.75" x14ac:dyDescent="0.2"/>
  <cols>
    <col min="1" max="1" width="0.85546875" style="1" customWidth="1"/>
    <col min="2" max="2" width="11.5703125" style="37"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0" width="8.85546875" style="1"/>
    <col min="11" max="11" width="11.7109375" style="1" bestFit="1" customWidth="1"/>
    <col min="12" max="16384" width="8.85546875" style="1"/>
  </cols>
  <sheetData>
    <row r="1" spans="2:13" x14ac:dyDescent="0.2">
      <c r="G1" s="166">
        <f>MAX(G9:G511)</f>
        <v>0</v>
      </c>
    </row>
    <row r="2" spans="2:13" x14ac:dyDescent="0.2">
      <c r="B2" s="2" t="str">
        <f>Client1</f>
        <v>Province of KwaZulu-Natal</v>
      </c>
      <c r="E2" s="703" t="str">
        <f>"Contract No. "&amp;ContractNo</f>
        <v>Contract No. ZNB02287/00000/00/MET/INF/24/T</v>
      </c>
      <c r="F2" s="703"/>
      <c r="G2" s="703"/>
      <c r="J2" s="293"/>
      <c r="K2" s="293" t="e">
        <f>MAX(K3:K256)</f>
        <v>#NAME?</v>
      </c>
      <c r="L2" s="293"/>
      <c r="M2" s="294"/>
    </row>
    <row r="3" spans="2:13" x14ac:dyDescent="0.2">
      <c r="B3" s="81" t="str">
        <f>Client2</f>
        <v>Department of Transport</v>
      </c>
      <c r="J3" s="1" t="s">
        <v>470</v>
      </c>
      <c r="K3" s="1" t="s">
        <v>471</v>
      </c>
      <c r="L3" s="1" t="s">
        <v>472</v>
      </c>
      <c r="M3" s="1" t="s">
        <v>473</v>
      </c>
    </row>
    <row r="4" spans="2:13" x14ac:dyDescent="0.2">
      <c r="B4" s="3"/>
      <c r="J4" s="73"/>
      <c r="K4" s="73"/>
      <c r="L4" s="73"/>
      <c r="M4" s="73"/>
    </row>
    <row r="5" spans="2:13" ht="12.75" customHeight="1" x14ac:dyDescent="0.2">
      <c r="B5" s="698" t="s">
        <v>8</v>
      </c>
      <c r="C5" s="699"/>
      <c r="D5" s="699"/>
      <c r="E5" s="699"/>
      <c r="F5" s="699"/>
      <c r="G5" s="695" t="str">
        <f>"CHAPTER "&amp;B11</f>
        <v>CHAPTER C11.4</v>
      </c>
      <c r="H5" s="6"/>
    </row>
    <row r="6" spans="2:13" ht="7.5" customHeight="1" x14ac:dyDescent="0.2">
      <c r="B6" s="711" t="str">
        <f>ContractDescription</f>
        <v>PROVISION OF ROUTINE AND SAFETY MAINTENANCE ON MIAN ROAD P3/1 (KM 69.00 TO KM 77.96), P3/2 (KM 0.00 TO KM 11.50), P21/2(KM 0.00 TO KM 29.83 IN THE ETHEKWINI METRO - DURBAN REGION</v>
      </c>
      <c r="C6" s="712"/>
      <c r="D6" s="712"/>
      <c r="E6" s="712"/>
      <c r="F6" s="712"/>
      <c r="G6" s="696"/>
      <c r="H6" s="8"/>
    </row>
    <row r="7" spans="2:13" ht="12.75" customHeight="1" x14ac:dyDescent="0.2">
      <c r="B7" s="711"/>
      <c r="C7" s="712"/>
      <c r="D7" s="712"/>
      <c r="E7" s="712"/>
      <c r="F7" s="712"/>
      <c r="G7" s="696"/>
      <c r="H7" s="8"/>
    </row>
    <row r="8" spans="2:13" s="9" customFormat="1" ht="7.5" customHeight="1" x14ac:dyDescent="0.2">
      <c r="B8" s="713"/>
      <c r="C8" s="714"/>
      <c r="D8" s="714"/>
      <c r="E8" s="714"/>
      <c r="F8" s="714"/>
      <c r="G8" s="697"/>
      <c r="H8" s="12"/>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x14ac:dyDescent="0.2">
      <c r="B10" s="51"/>
      <c r="C10" s="14"/>
      <c r="D10" s="15"/>
      <c r="E10" s="15"/>
      <c r="F10" s="16"/>
      <c r="G10" s="25" t="str">
        <f>IF(D10="","",E10*F10)</f>
        <v/>
      </c>
      <c r="H10" s="18"/>
      <c r="J10" s="16"/>
      <c r="K10" s="16"/>
      <c r="L10" s="16"/>
      <c r="M10" s="16"/>
    </row>
    <row r="11" spans="2:13" x14ac:dyDescent="0.2">
      <c r="B11" s="47" t="s">
        <v>319</v>
      </c>
      <c r="C11" s="20" t="s">
        <v>318</v>
      </c>
      <c r="D11" s="15"/>
      <c r="E11" s="15"/>
      <c r="F11" s="16"/>
      <c r="G11" s="25"/>
      <c r="H11" s="18"/>
      <c r="J11" s="41"/>
      <c r="K11" s="41"/>
      <c r="L11" s="41"/>
      <c r="M11" s="41"/>
    </row>
    <row r="12" spans="2:13" x14ac:dyDescent="0.2">
      <c r="B12" s="51"/>
      <c r="C12" s="14"/>
      <c r="D12" s="15"/>
      <c r="E12" s="15"/>
      <c r="F12" s="16"/>
      <c r="G12" s="25"/>
      <c r="H12" s="18"/>
      <c r="J12" s="41"/>
      <c r="K12" s="41"/>
      <c r="L12" s="41"/>
      <c r="M12" s="41"/>
    </row>
    <row r="13" spans="2:13" s="30" customFormat="1" x14ac:dyDescent="0.2">
      <c r="B13" s="67" t="s">
        <v>237</v>
      </c>
      <c r="C13" s="20" t="s">
        <v>236</v>
      </c>
      <c r="D13" s="450"/>
      <c r="E13" s="450"/>
      <c r="F13" s="431"/>
      <c r="G13" s="432" t="str">
        <f t="shared" ref="G13:G19" si="0">IF(D13="","",E13*F13)</f>
        <v/>
      </c>
      <c r="H13" s="452"/>
      <c r="J13" s="455"/>
      <c r="K13" s="448" t="str">
        <f t="shared" ref="K13:K65" si="1">IF(J13="","",J13*E13)</f>
        <v/>
      </c>
      <c r="L13" s="455"/>
      <c r="M13" s="455"/>
    </row>
    <row r="14" spans="2:13" x14ac:dyDescent="0.2">
      <c r="B14" s="51"/>
      <c r="C14" s="14"/>
      <c r="D14" s="15"/>
      <c r="E14" s="15"/>
      <c r="F14" s="16"/>
      <c r="G14" s="25" t="str">
        <f t="shared" si="0"/>
        <v/>
      </c>
      <c r="H14" s="18"/>
      <c r="J14" s="41"/>
      <c r="K14" s="46" t="str">
        <f t="shared" si="1"/>
        <v/>
      </c>
      <c r="L14" s="41"/>
      <c r="M14" s="41"/>
    </row>
    <row r="15" spans="2:13" ht="18" customHeight="1" x14ac:dyDescent="0.2">
      <c r="B15" s="59" t="s">
        <v>216</v>
      </c>
      <c r="C15" s="52" t="s">
        <v>235</v>
      </c>
      <c r="D15" s="15"/>
      <c r="E15" s="15"/>
      <c r="F15" s="16"/>
      <c r="G15" s="25" t="str">
        <f t="shared" si="0"/>
        <v/>
      </c>
      <c r="H15" s="18"/>
      <c r="J15" s="41"/>
      <c r="K15" s="46" t="str">
        <f t="shared" si="1"/>
        <v/>
      </c>
      <c r="L15" s="41"/>
      <c r="M15" s="41"/>
    </row>
    <row r="16" spans="2:13" x14ac:dyDescent="0.2">
      <c r="B16" s="59"/>
      <c r="C16" s="14"/>
      <c r="D16" s="15"/>
      <c r="E16" s="15"/>
      <c r="F16" s="16"/>
      <c r="G16" s="25" t="str">
        <f t="shared" si="0"/>
        <v/>
      </c>
      <c r="H16" s="18"/>
      <c r="J16" s="41"/>
      <c r="K16" s="46" t="str">
        <f t="shared" si="1"/>
        <v/>
      </c>
      <c r="L16" s="41"/>
      <c r="M16" s="41"/>
    </row>
    <row r="17" spans="2:16" x14ac:dyDescent="0.2">
      <c r="B17" s="51" t="s">
        <v>34</v>
      </c>
      <c r="C17" s="14" t="s">
        <v>406</v>
      </c>
      <c r="D17" s="22" t="s">
        <v>6</v>
      </c>
      <c r="E17" s="23">
        <v>6500</v>
      </c>
      <c r="F17" s="16"/>
      <c r="G17" s="25">
        <f t="shared" si="0"/>
        <v>0</v>
      </c>
      <c r="H17" s="58"/>
      <c r="J17" s="347" t="e">
        <f>_GRail</f>
        <v>#NAME?</v>
      </c>
      <c r="K17" s="46" t="e">
        <f t="shared" si="1"/>
        <v>#NAME?</v>
      </c>
      <c r="L17" s="41"/>
      <c r="M17" s="41"/>
    </row>
    <row r="18" spans="2:16" x14ac:dyDescent="0.2">
      <c r="B18" s="59"/>
      <c r="C18" s="27"/>
      <c r="D18" s="61"/>
      <c r="E18" s="26"/>
      <c r="F18" s="16"/>
      <c r="G18" s="25" t="str">
        <f t="shared" si="0"/>
        <v/>
      </c>
      <c r="H18" s="63"/>
      <c r="J18" s="41"/>
      <c r="K18" s="46" t="str">
        <f t="shared" si="1"/>
        <v/>
      </c>
      <c r="L18" s="41"/>
      <c r="M18" s="41"/>
      <c r="P18" s="1">
        <f>1420/3.8</f>
        <v>373.68421052631578</v>
      </c>
    </row>
    <row r="19" spans="2:16" ht="38.25" x14ac:dyDescent="0.2">
      <c r="B19" s="51" t="s">
        <v>37</v>
      </c>
      <c r="C19" s="14" t="s">
        <v>234</v>
      </c>
      <c r="D19" s="22" t="s">
        <v>6</v>
      </c>
      <c r="E19" s="26">
        <v>6500</v>
      </c>
      <c r="F19" s="16"/>
      <c r="G19" s="25">
        <f t="shared" si="0"/>
        <v>0</v>
      </c>
      <c r="H19" s="63"/>
      <c r="J19" s="346">
        <f>F19*20%</f>
        <v>0</v>
      </c>
      <c r="K19" s="46">
        <f t="shared" si="1"/>
        <v>0</v>
      </c>
      <c r="L19" s="41"/>
      <c r="M19" s="41"/>
    </row>
    <row r="20" spans="2:16" x14ac:dyDescent="0.2">
      <c r="B20" s="51"/>
      <c r="C20" s="28"/>
      <c r="D20" s="22"/>
      <c r="E20" s="26"/>
      <c r="F20" s="16"/>
      <c r="G20" s="25"/>
      <c r="H20" s="63"/>
      <c r="J20" s="41"/>
      <c r="K20" s="46" t="str">
        <f t="shared" si="1"/>
        <v/>
      </c>
      <c r="L20" s="41"/>
      <c r="M20" s="41"/>
    </row>
    <row r="21" spans="2:16" x14ac:dyDescent="0.2">
      <c r="B21" s="51" t="s">
        <v>233</v>
      </c>
      <c r="C21" s="27" t="s">
        <v>232</v>
      </c>
      <c r="D21" s="22"/>
      <c r="E21" s="26"/>
      <c r="F21" s="16"/>
      <c r="G21" s="25"/>
      <c r="H21" s="63"/>
      <c r="J21" s="41"/>
      <c r="K21" s="46" t="str">
        <f t="shared" si="1"/>
        <v/>
      </c>
      <c r="L21" s="41"/>
      <c r="M21" s="41"/>
    </row>
    <row r="22" spans="2:16" x14ac:dyDescent="0.2">
      <c r="B22" s="59"/>
      <c r="C22" s="27"/>
      <c r="D22" s="61"/>
      <c r="E22" s="26"/>
      <c r="F22" s="16"/>
      <c r="G22" s="25" t="str">
        <f t="shared" ref="G22:G65" si="2">IF(D22="","",E22*F22)</f>
        <v/>
      </c>
      <c r="H22" s="63"/>
      <c r="J22" s="41"/>
      <c r="K22" s="46" t="str">
        <f t="shared" si="1"/>
        <v/>
      </c>
      <c r="L22" s="41"/>
      <c r="M22" s="41"/>
    </row>
    <row r="23" spans="2:16" x14ac:dyDescent="0.2">
      <c r="B23" s="51" t="s">
        <v>34</v>
      </c>
      <c r="C23" s="14" t="s">
        <v>231</v>
      </c>
      <c r="D23" s="22" t="s">
        <v>33</v>
      </c>
      <c r="E23" s="26">
        <v>30</v>
      </c>
      <c r="F23" s="16"/>
      <c r="G23" s="25">
        <f t="shared" si="2"/>
        <v>0</v>
      </c>
      <c r="H23" s="63"/>
      <c r="J23" s="346">
        <f>F23*10%</f>
        <v>0</v>
      </c>
      <c r="K23" s="46">
        <f t="shared" si="1"/>
        <v>0</v>
      </c>
      <c r="L23" s="41"/>
      <c r="M23" s="41"/>
    </row>
    <row r="24" spans="2:16" x14ac:dyDescent="0.2">
      <c r="B24" s="51"/>
      <c r="C24" s="14"/>
      <c r="D24" s="22"/>
      <c r="E24" s="26"/>
      <c r="F24" s="16"/>
      <c r="G24" s="25" t="str">
        <f t="shared" si="2"/>
        <v/>
      </c>
      <c r="H24" s="63"/>
      <c r="J24" s="346"/>
      <c r="K24" s="46"/>
      <c r="L24" s="41"/>
      <c r="M24" s="41"/>
    </row>
    <row r="25" spans="2:16" x14ac:dyDescent="0.2">
      <c r="B25" s="95" t="s">
        <v>35</v>
      </c>
      <c r="C25" s="126" t="s">
        <v>628</v>
      </c>
      <c r="D25" s="94" t="s">
        <v>33</v>
      </c>
      <c r="E25" s="26">
        <v>12</v>
      </c>
      <c r="F25" s="16"/>
      <c r="G25" s="25">
        <f t="shared" si="2"/>
        <v>0</v>
      </c>
      <c r="H25" s="63"/>
      <c r="J25" s="346"/>
      <c r="K25" s="46"/>
      <c r="L25" s="41"/>
      <c r="M25" s="41"/>
    </row>
    <row r="26" spans="2:16" x14ac:dyDescent="0.2">
      <c r="B26" s="160"/>
      <c r="C26" s="93"/>
      <c r="D26" s="92"/>
      <c r="E26" s="26"/>
      <c r="F26" s="16"/>
      <c r="G26" s="25" t="str">
        <f t="shared" si="2"/>
        <v/>
      </c>
      <c r="H26" s="63"/>
      <c r="J26" s="346"/>
      <c r="K26" s="46"/>
      <c r="L26" s="41"/>
      <c r="M26" s="41"/>
    </row>
    <row r="27" spans="2:16" x14ac:dyDescent="0.2">
      <c r="B27" s="95" t="s">
        <v>182</v>
      </c>
      <c r="C27" s="93" t="s">
        <v>629</v>
      </c>
      <c r="D27" s="94" t="s">
        <v>33</v>
      </c>
      <c r="E27" s="26">
        <v>3</v>
      </c>
      <c r="F27" s="16"/>
      <c r="G27" s="25">
        <f t="shared" si="2"/>
        <v>0</v>
      </c>
      <c r="H27" s="63"/>
      <c r="J27" s="346"/>
      <c r="K27" s="46"/>
      <c r="L27" s="41"/>
      <c r="M27" s="41"/>
    </row>
    <row r="28" spans="2:16" x14ac:dyDescent="0.2">
      <c r="B28" s="59"/>
      <c r="C28" s="14"/>
      <c r="D28" s="15"/>
      <c r="E28" s="26"/>
      <c r="F28" s="16"/>
      <c r="G28" s="25" t="str">
        <f t="shared" si="2"/>
        <v/>
      </c>
      <c r="H28" s="18"/>
      <c r="J28" s="41"/>
      <c r="K28" s="46" t="str">
        <f t="shared" si="1"/>
        <v/>
      </c>
      <c r="L28" s="41"/>
      <c r="M28" s="41"/>
    </row>
    <row r="29" spans="2:16" ht="25.5" x14ac:dyDescent="0.2">
      <c r="B29" s="51" t="s">
        <v>37</v>
      </c>
      <c r="C29" s="14" t="s">
        <v>407</v>
      </c>
      <c r="D29" s="22" t="s">
        <v>33</v>
      </c>
      <c r="E29" s="26">
        <v>6</v>
      </c>
      <c r="F29" s="16"/>
      <c r="G29" s="25">
        <f t="shared" si="2"/>
        <v>0</v>
      </c>
      <c r="H29" s="18"/>
      <c r="J29" s="346">
        <f>F29*10%</f>
        <v>0</v>
      </c>
      <c r="K29" s="46">
        <f t="shared" si="1"/>
        <v>0</v>
      </c>
      <c r="L29" s="41"/>
      <c r="M29" s="41"/>
    </row>
    <row r="30" spans="2:16" x14ac:dyDescent="0.2">
      <c r="B30" s="59"/>
      <c r="C30" s="14"/>
      <c r="D30" s="15"/>
      <c r="E30" s="26"/>
      <c r="F30" s="16"/>
      <c r="G30" s="25" t="str">
        <f t="shared" si="2"/>
        <v/>
      </c>
      <c r="H30" s="18"/>
      <c r="J30" s="41"/>
      <c r="K30" s="46" t="str">
        <f t="shared" si="1"/>
        <v/>
      </c>
      <c r="L30" s="41"/>
      <c r="M30" s="41"/>
    </row>
    <row r="31" spans="2:16" ht="25.5" x14ac:dyDescent="0.2">
      <c r="B31" s="51" t="s">
        <v>38</v>
      </c>
      <c r="C31" s="14" t="s">
        <v>408</v>
      </c>
      <c r="D31" s="22" t="s">
        <v>33</v>
      </c>
      <c r="E31" s="26">
        <v>4</v>
      </c>
      <c r="F31" s="16"/>
      <c r="G31" s="25">
        <f t="shared" si="2"/>
        <v>0</v>
      </c>
      <c r="H31" s="18"/>
      <c r="J31" s="346">
        <f>F31*10%</f>
        <v>0</v>
      </c>
      <c r="K31" s="46">
        <f t="shared" si="1"/>
        <v>0</v>
      </c>
      <c r="L31" s="41"/>
      <c r="M31" s="41"/>
    </row>
    <row r="32" spans="2:16" x14ac:dyDescent="0.2">
      <c r="B32" s="59"/>
      <c r="C32" s="14"/>
      <c r="D32" s="15"/>
      <c r="E32" s="26"/>
      <c r="F32" s="16"/>
      <c r="G32" s="25" t="str">
        <f t="shared" si="2"/>
        <v/>
      </c>
      <c r="H32" s="18"/>
      <c r="J32" s="41"/>
      <c r="K32" s="46" t="str">
        <f t="shared" si="1"/>
        <v/>
      </c>
      <c r="L32" s="41"/>
      <c r="M32" s="41"/>
    </row>
    <row r="33" spans="2:13" ht="38.25" x14ac:dyDescent="0.2">
      <c r="B33" s="51" t="s">
        <v>103</v>
      </c>
      <c r="C33" s="14" t="s">
        <v>230</v>
      </c>
      <c r="D33" s="22" t="s">
        <v>33</v>
      </c>
      <c r="E33" s="26">
        <v>14</v>
      </c>
      <c r="F33" s="16"/>
      <c r="G33" s="25">
        <f t="shared" si="2"/>
        <v>0</v>
      </c>
      <c r="H33" s="18"/>
      <c r="J33" s="347">
        <f>F33*10%</f>
        <v>0</v>
      </c>
      <c r="K33" s="46">
        <f t="shared" si="1"/>
        <v>0</v>
      </c>
      <c r="L33" s="41"/>
      <c r="M33" s="41"/>
    </row>
    <row r="34" spans="2:13" x14ac:dyDescent="0.2">
      <c r="B34" s="59"/>
      <c r="C34" s="76"/>
      <c r="D34" s="15"/>
      <c r="E34" s="15"/>
      <c r="F34" s="16"/>
      <c r="G34" s="25" t="str">
        <f t="shared" si="2"/>
        <v/>
      </c>
      <c r="H34" s="18"/>
      <c r="J34" s="41"/>
      <c r="K34" s="46" t="str">
        <f t="shared" si="1"/>
        <v/>
      </c>
      <c r="L34" s="41"/>
      <c r="M34" s="41"/>
    </row>
    <row r="35" spans="2:13" s="30" customFormat="1" x14ac:dyDescent="0.2">
      <c r="B35" s="67" t="s">
        <v>229</v>
      </c>
      <c r="C35" s="20" t="s">
        <v>228</v>
      </c>
      <c r="D35" s="429"/>
      <c r="E35" s="451"/>
      <c r="F35" s="431"/>
      <c r="G35" s="432" t="str">
        <f t="shared" si="2"/>
        <v/>
      </c>
      <c r="H35" s="452"/>
      <c r="J35" s="447"/>
      <c r="K35" s="448" t="str">
        <f t="shared" si="1"/>
        <v/>
      </c>
      <c r="L35" s="447"/>
      <c r="M35" s="447"/>
    </row>
    <row r="36" spans="2:13" x14ac:dyDescent="0.2">
      <c r="B36" s="51"/>
      <c r="C36" s="28"/>
      <c r="D36" s="22"/>
      <c r="E36" s="26"/>
      <c r="F36" s="16"/>
      <c r="G36" s="25"/>
      <c r="H36" s="18"/>
      <c r="J36" s="41"/>
      <c r="K36" s="46" t="str">
        <f t="shared" si="1"/>
        <v/>
      </c>
      <c r="L36" s="41"/>
      <c r="M36" s="41"/>
    </row>
    <row r="37" spans="2:13" ht="38.25" x14ac:dyDescent="0.2">
      <c r="B37" s="51" t="s">
        <v>227</v>
      </c>
      <c r="C37" s="28" t="s">
        <v>226</v>
      </c>
      <c r="D37" s="22" t="s">
        <v>6</v>
      </c>
      <c r="E37" s="23">
        <v>1300</v>
      </c>
      <c r="F37" s="41"/>
      <c r="G37" s="25">
        <f t="shared" si="2"/>
        <v>0</v>
      </c>
      <c r="H37" s="18"/>
      <c r="J37" s="41" t="e">
        <f>_GRail</f>
        <v>#NAME?</v>
      </c>
      <c r="K37" s="46" t="e">
        <f t="shared" si="1"/>
        <v>#NAME?</v>
      </c>
      <c r="L37" s="41"/>
      <c r="M37" s="41"/>
    </row>
    <row r="38" spans="2:13" x14ac:dyDescent="0.2">
      <c r="B38" s="59"/>
      <c r="C38" s="14"/>
      <c r="D38" s="15"/>
      <c r="E38" s="26"/>
      <c r="F38" s="16"/>
      <c r="G38" s="25" t="str">
        <f t="shared" si="2"/>
        <v/>
      </c>
      <c r="H38" s="18"/>
      <c r="J38" s="41"/>
      <c r="K38" s="46" t="str">
        <f t="shared" si="1"/>
        <v/>
      </c>
      <c r="L38" s="41"/>
      <c r="M38" s="41"/>
    </row>
    <row r="39" spans="2:13" s="30" customFormat="1" x14ac:dyDescent="0.2">
      <c r="B39" s="67" t="s">
        <v>225</v>
      </c>
      <c r="C39" s="456" t="s">
        <v>224</v>
      </c>
      <c r="D39" s="429"/>
      <c r="E39" s="451"/>
      <c r="F39" s="431"/>
      <c r="G39" s="432" t="str">
        <f t="shared" si="2"/>
        <v/>
      </c>
      <c r="H39" s="452"/>
      <c r="J39" s="447"/>
      <c r="K39" s="448" t="str">
        <f t="shared" si="1"/>
        <v/>
      </c>
      <c r="L39" s="447"/>
      <c r="M39" s="447"/>
    </row>
    <row r="40" spans="2:13" x14ac:dyDescent="0.2">
      <c r="B40" s="59"/>
      <c r="C40" s="14"/>
      <c r="D40" s="15"/>
      <c r="E40" s="26"/>
      <c r="F40" s="16"/>
      <c r="G40" s="25" t="str">
        <f t="shared" si="2"/>
        <v/>
      </c>
      <c r="H40" s="18"/>
      <c r="J40" s="41"/>
      <c r="K40" s="46" t="str">
        <f t="shared" si="1"/>
        <v/>
      </c>
      <c r="L40" s="41"/>
      <c r="M40" s="41"/>
    </row>
    <row r="41" spans="2:13" x14ac:dyDescent="0.2">
      <c r="B41" s="51" t="s">
        <v>223</v>
      </c>
      <c r="C41" s="14" t="s">
        <v>222</v>
      </c>
      <c r="D41" s="22" t="s">
        <v>33</v>
      </c>
      <c r="E41" s="26">
        <v>50</v>
      </c>
      <c r="F41" s="16"/>
      <c r="G41" s="25">
        <f t="shared" si="2"/>
        <v>0</v>
      </c>
      <c r="H41" s="18"/>
      <c r="J41" s="338" t="e">
        <f>_GPost</f>
        <v>#NAME?</v>
      </c>
      <c r="K41" s="46" t="e">
        <f t="shared" si="1"/>
        <v>#NAME?</v>
      </c>
      <c r="L41" s="41"/>
      <c r="M41" s="41"/>
    </row>
    <row r="42" spans="2:13" x14ac:dyDescent="0.2">
      <c r="B42" s="51"/>
      <c r="C42" s="14"/>
      <c r="D42" s="22"/>
      <c r="E42" s="26"/>
      <c r="F42" s="16"/>
      <c r="G42" s="25" t="str">
        <f t="shared" si="2"/>
        <v/>
      </c>
      <c r="H42" s="18"/>
      <c r="J42" s="338"/>
      <c r="K42" s="46"/>
      <c r="L42" s="41"/>
      <c r="M42" s="41"/>
    </row>
    <row r="43" spans="2:13" ht="25.5" x14ac:dyDescent="0.2">
      <c r="B43" s="51" t="s">
        <v>1007</v>
      </c>
      <c r="C43" s="14" t="s">
        <v>1008</v>
      </c>
      <c r="D43" s="22" t="s">
        <v>33</v>
      </c>
      <c r="E43" s="23">
        <v>50</v>
      </c>
      <c r="F43" s="41"/>
      <c r="G43" s="25">
        <f t="shared" si="2"/>
        <v>0</v>
      </c>
      <c r="H43" s="18"/>
      <c r="J43" s="338"/>
      <c r="K43" s="46"/>
      <c r="L43" s="41"/>
      <c r="M43" s="41"/>
    </row>
    <row r="44" spans="2:13" x14ac:dyDescent="0.2">
      <c r="B44" s="59"/>
      <c r="C44" s="14"/>
      <c r="D44" s="15"/>
      <c r="E44" s="26"/>
      <c r="F44" s="16"/>
      <c r="G44" s="25"/>
      <c r="H44" s="18"/>
      <c r="J44" s="41"/>
      <c r="K44" s="46" t="str">
        <f t="shared" si="1"/>
        <v/>
      </c>
      <c r="L44" s="41"/>
      <c r="M44" s="41"/>
    </row>
    <row r="45" spans="2:13" x14ac:dyDescent="0.2">
      <c r="B45" s="67" t="s">
        <v>221</v>
      </c>
      <c r="C45" s="20" t="s">
        <v>215</v>
      </c>
      <c r="D45" s="22"/>
      <c r="E45" s="26"/>
      <c r="F45" s="16"/>
      <c r="G45" s="25" t="str">
        <f t="shared" si="2"/>
        <v/>
      </c>
      <c r="H45" s="18"/>
      <c r="J45" s="41"/>
      <c r="K45" s="46" t="str">
        <f t="shared" si="1"/>
        <v/>
      </c>
      <c r="L45" s="41"/>
      <c r="M45" s="41"/>
    </row>
    <row r="46" spans="2:13" x14ac:dyDescent="0.2">
      <c r="B46" s="59"/>
      <c r="C46" s="14"/>
      <c r="D46" s="15"/>
      <c r="E46" s="26"/>
      <c r="F46" s="16"/>
      <c r="G46" s="25" t="str">
        <f t="shared" si="2"/>
        <v/>
      </c>
      <c r="H46" s="18"/>
      <c r="J46" s="41"/>
      <c r="K46" s="46" t="str">
        <f t="shared" si="1"/>
        <v/>
      </c>
      <c r="L46" s="41"/>
      <c r="M46" s="41"/>
    </row>
    <row r="47" spans="2:13" x14ac:dyDescent="0.2">
      <c r="B47" s="51" t="s">
        <v>220</v>
      </c>
      <c r="C47" s="28" t="s">
        <v>219</v>
      </c>
      <c r="D47" s="22" t="s">
        <v>33</v>
      </c>
      <c r="E47" s="26">
        <v>2500</v>
      </c>
      <c r="F47" s="16"/>
      <c r="G47" s="25">
        <f t="shared" si="2"/>
        <v>0</v>
      </c>
      <c r="H47" s="18"/>
      <c r="J47" s="346">
        <f>F47*5%</f>
        <v>0</v>
      </c>
      <c r="K47" s="46">
        <f t="shared" si="1"/>
        <v>0</v>
      </c>
      <c r="L47" s="41"/>
      <c r="M47" s="41"/>
    </row>
    <row r="48" spans="2:13" x14ac:dyDescent="0.2">
      <c r="B48" s="59"/>
      <c r="C48" s="120"/>
      <c r="D48" s="15"/>
      <c r="E48" s="15"/>
      <c r="F48" s="16"/>
      <c r="G48" s="25" t="str">
        <f t="shared" si="2"/>
        <v/>
      </c>
      <c r="H48" s="18"/>
      <c r="J48" s="41"/>
      <c r="K48" s="46" t="str">
        <f t="shared" si="1"/>
        <v/>
      </c>
      <c r="L48" s="41"/>
      <c r="M48" s="41"/>
    </row>
    <row r="49" spans="2:11" x14ac:dyDescent="0.2">
      <c r="B49" s="67" t="s">
        <v>218</v>
      </c>
      <c r="C49" s="20" t="s">
        <v>217</v>
      </c>
      <c r="D49" s="22" t="s">
        <v>6</v>
      </c>
      <c r="E49" s="61">
        <v>3048</v>
      </c>
      <c r="F49" s="16"/>
      <c r="G49" s="25">
        <f t="shared" si="2"/>
        <v>0</v>
      </c>
      <c r="H49" s="66"/>
      <c r="J49" s="1" t="e">
        <f>_GRail</f>
        <v>#NAME?</v>
      </c>
      <c r="K49" s="46" t="e">
        <f t="shared" si="1"/>
        <v>#NAME?</v>
      </c>
    </row>
    <row r="50" spans="2:11" x14ac:dyDescent="0.2">
      <c r="B50" s="51"/>
      <c r="C50" s="120"/>
      <c r="D50" s="22"/>
      <c r="E50" s="61"/>
      <c r="F50" s="16"/>
      <c r="G50" s="25" t="str">
        <f t="shared" si="2"/>
        <v/>
      </c>
      <c r="H50" s="66"/>
      <c r="K50" s="46"/>
    </row>
    <row r="51" spans="2:11" s="30" customFormat="1" x14ac:dyDescent="0.2">
      <c r="B51" s="67" t="s">
        <v>1009</v>
      </c>
      <c r="C51" s="501" t="s">
        <v>1010</v>
      </c>
      <c r="D51" s="429"/>
      <c r="E51" s="457"/>
      <c r="F51" s="431"/>
      <c r="G51" s="432" t="str">
        <f t="shared" si="2"/>
        <v/>
      </c>
      <c r="H51" s="502"/>
      <c r="K51" s="448"/>
    </row>
    <row r="52" spans="2:11" x14ac:dyDescent="0.2">
      <c r="B52" s="51"/>
      <c r="C52" s="120"/>
      <c r="D52" s="22"/>
      <c r="E52" s="61"/>
      <c r="F52" s="16"/>
      <c r="G52" s="25" t="str">
        <f t="shared" si="2"/>
        <v/>
      </c>
      <c r="H52" s="66"/>
      <c r="K52" s="46"/>
    </row>
    <row r="53" spans="2:11" x14ac:dyDescent="0.2">
      <c r="B53" s="51" t="s">
        <v>1011</v>
      </c>
      <c r="C53" s="120" t="s">
        <v>1012</v>
      </c>
      <c r="D53" s="22" t="s">
        <v>6</v>
      </c>
      <c r="E53" s="61">
        <v>1200</v>
      </c>
      <c r="F53" s="16"/>
      <c r="G53" s="25">
        <f t="shared" si="2"/>
        <v>0</v>
      </c>
      <c r="H53" s="66"/>
      <c r="K53" s="46"/>
    </row>
    <row r="54" spans="2:11" x14ac:dyDescent="0.2">
      <c r="B54" s="51"/>
      <c r="C54" s="120"/>
      <c r="D54" s="22"/>
      <c r="E54" s="61"/>
      <c r="F54" s="16"/>
      <c r="G54" s="25" t="str">
        <f t="shared" si="2"/>
        <v/>
      </c>
      <c r="H54" s="66"/>
      <c r="K54" s="46"/>
    </row>
    <row r="55" spans="2:11" ht="24" x14ac:dyDescent="0.2">
      <c r="B55" s="98" t="s">
        <v>630</v>
      </c>
      <c r="C55" s="97" t="s">
        <v>631</v>
      </c>
      <c r="D55" s="94"/>
      <c r="E55" s="61"/>
      <c r="F55" s="16"/>
      <c r="G55" s="25" t="str">
        <f t="shared" si="2"/>
        <v/>
      </c>
      <c r="H55" s="66"/>
      <c r="K55" s="46"/>
    </row>
    <row r="56" spans="2:11" x14ac:dyDescent="0.2">
      <c r="B56" s="160"/>
      <c r="C56" s="93"/>
      <c r="D56" s="92"/>
      <c r="E56" s="61"/>
      <c r="F56" s="16"/>
      <c r="G56" s="25" t="str">
        <f t="shared" si="2"/>
        <v/>
      </c>
      <c r="H56" s="66"/>
      <c r="K56" s="46"/>
    </row>
    <row r="57" spans="2:11" x14ac:dyDescent="0.2">
      <c r="B57" s="95" t="s">
        <v>632</v>
      </c>
      <c r="C57" s="126" t="s">
        <v>633</v>
      </c>
      <c r="D57" s="94" t="s">
        <v>6</v>
      </c>
      <c r="E57" s="61">
        <v>1800</v>
      </c>
      <c r="F57" s="16"/>
      <c r="G57" s="25">
        <f t="shared" si="2"/>
        <v>0</v>
      </c>
      <c r="H57" s="66"/>
      <c r="K57" s="46"/>
    </row>
    <row r="58" spans="2:11" x14ac:dyDescent="0.2">
      <c r="B58" s="51"/>
      <c r="C58" s="120"/>
      <c r="D58" s="22"/>
      <c r="E58" s="61"/>
      <c r="F58" s="16"/>
      <c r="G58" s="25" t="str">
        <f t="shared" si="2"/>
        <v/>
      </c>
      <c r="H58" s="66"/>
      <c r="K58" s="46"/>
    </row>
    <row r="59" spans="2:11" ht="24" x14ac:dyDescent="0.2">
      <c r="B59" s="160" t="s">
        <v>634</v>
      </c>
      <c r="C59" s="126" t="s">
        <v>635</v>
      </c>
      <c r="D59" s="92" t="s">
        <v>6</v>
      </c>
      <c r="E59" s="61">
        <v>1800</v>
      </c>
      <c r="F59" s="16"/>
      <c r="G59" s="25">
        <f t="shared" si="2"/>
        <v>0</v>
      </c>
      <c r="H59" s="66"/>
      <c r="K59" s="46"/>
    </row>
    <row r="60" spans="2:11" x14ac:dyDescent="0.2">
      <c r="B60" s="376"/>
      <c r="C60" s="93"/>
      <c r="D60" s="92"/>
      <c r="E60" s="61"/>
      <c r="F60" s="16"/>
      <c r="G60" s="25"/>
      <c r="H60" s="66"/>
      <c r="K60" s="46"/>
    </row>
    <row r="61" spans="2:11" x14ac:dyDescent="0.2">
      <c r="B61" s="376"/>
      <c r="C61" s="93"/>
      <c r="D61" s="92"/>
      <c r="E61" s="61"/>
      <c r="F61" s="16"/>
      <c r="G61" s="25"/>
      <c r="H61" s="66"/>
      <c r="K61" s="46"/>
    </row>
    <row r="62" spans="2:11" x14ac:dyDescent="0.2">
      <c r="B62" s="160"/>
      <c r="C62" s="377"/>
      <c r="D62" s="92"/>
      <c r="E62" s="61"/>
      <c r="F62" s="16"/>
      <c r="G62" s="25"/>
      <c r="H62" s="66"/>
      <c r="K62" s="46"/>
    </row>
    <row r="63" spans="2:11" x14ac:dyDescent="0.2">
      <c r="B63" s="160"/>
      <c r="C63" s="93"/>
      <c r="D63" s="92"/>
      <c r="E63" s="61"/>
      <c r="F63" s="16"/>
      <c r="G63" s="25"/>
      <c r="H63" s="66"/>
      <c r="K63" s="46"/>
    </row>
    <row r="64" spans="2:11" x14ac:dyDescent="0.2">
      <c r="B64" s="378"/>
      <c r="C64" s="93"/>
      <c r="D64" s="94"/>
      <c r="E64" s="61"/>
      <c r="F64" s="16"/>
      <c r="G64" s="25"/>
      <c r="H64" s="66"/>
      <c r="K64" s="46"/>
    </row>
    <row r="65" spans="2:11" x14ac:dyDescent="0.2">
      <c r="B65" s="51"/>
      <c r="C65" s="14"/>
      <c r="D65" s="15"/>
      <c r="E65" s="15"/>
      <c r="F65" s="16"/>
      <c r="G65" s="25" t="str">
        <f t="shared" si="2"/>
        <v/>
      </c>
      <c r="H65" s="18"/>
      <c r="K65" s="46" t="str">
        <f t="shared" si="1"/>
        <v/>
      </c>
    </row>
    <row r="66" spans="2:11" s="30" customFormat="1" ht="19.5" customHeight="1" x14ac:dyDescent="0.2">
      <c r="B66" s="121" t="str">
        <f>$B$11</f>
        <v>C11.4</v>
      </c>
      <c r="C66" s="32" t="str">
        <f>"TOTAL CARRIED FORWARD"&amp;IF(G66=G$1," TO SUMMARY (Page C"&amp;Page_A&amp;")","")</f>
        <v>TOTAL CARRIED FORWARD TO SUMMARY (Page C49)</v>
      </c>
      <c r="D66" s="33"/>
      <c r="E66" s="34"/>
      <c r="F66" s="33"/>
      <c r="G66" s="352">
        <f>SUM(G10:G65)</f>
        <v>0</v>
      </c>
      <c r="H66" s="36"/>
      <c r="K66" s="35" t="e">
        <f>SUM(K10:K65)</f>
        <v>#NAME?</v>
      </c>
    </row>
    <row r="67" spans="2:11" x14ac:dyDescent="0.2">
      <c r="B67" s="689" t="str">
        <f>Client1</f>
        <v>Province of KwaZulu-Natal</v>
      </c>
      <c r="C67" s="689"/>
      <c r="D67" s="689"/>
      <c r="E67" s="687" t="str">
        <f>"Contract No. "&amp;ContractNo</f>
        <v>Contract No. ZNB02287/00000/00/MET/INF/24/T</v>
      </c>
      <c r="F67" s="687"/>
      <c r="G67" s="687"/>
    </row>
    <row r="68" spans="2:11" x14ac:dyDescent="0.2">
      <c r="B68" s="689" t="str">
        <f>Client2</f>
        <v>Department of Transport</v>
      </c>
      <c r="C68" s="689"/>
      <c r="D68" s="689"/>
      <c r="E68" s="687"/>
      <c r="F68" s="687"/>
      <c r="G68" s="687"/>
    </row>
    <row r="69" spans="2:11" x14ac:dyDescent="0.2">
      <c r="B69" s="690"/>
      <c r="C69" s="690"/>
      <c r="D69" s="690"/>
      <c r="E69" s="688"/>
      <c r="F69" s="688"/>
      <c r="G69" s="688"/>
    </row>
    <row r="70" spans="2:11" x14ac:dyDescent="0.2">
      <c r="B70" s="698" t="s">
        <v>8</v>
      </c>
      <c r="C70" s="699"/>
      <c r="D70" s="699"/>
      <c r="E70" s="699"/>
      <c r="F70" s="699"/>
      <c r="G70" s="700" t="str">
        <f>G5</f>
        <v>CHAPTER C11.4</v>
      </c>
      <c r="H70" s="6"/>
    </row>
    <row r="71" spans="2:11" x14ac:dyDescent="0.2">
      <c r="B71" s="691" t="str">
        <f>ContractDescription</f>
        <v>PROVISION OF ROUTINE AND SAFETY MAINTENANCE ON MIAN ROAD P3/1 (KM 69.00 TO KM 77.96), P3/2 (KM 0.00 TO KM 11.50), P21/2(KM 0.00 TO KM 29.83 IN THE ETHEKWINI METRO - DURBAN REGION</v>
      </c>
      <c r="C71" s="692"/>
      <c r="D71" s="692"/>
      <c r="E71" s="692"/>
      <c r="F71" s="692"/>
      <c r="G71" s="701"/>
      <c r="H71" s="8"/>
    </row>
    <row r="72" spans="2:11" x14ac:dyDescent="0.2">
      <c r="B72" s="691"/>
      <c r="C72" s="692"/>
      <c r="D72" s="692"/>
      <c r="E72" s="692"/>
      <c r="F72" s="692"/>
      <c r="G72" s="701"/>
      <c r="H72" s="8"/>
    </row>
    <row r="73" spans="2:11" x14ac:dyDescent="0.2">
      <c r="B73" s="693"/>
      <c r="C73" s="694"/>
      <c r="D73" s="694"/>
      <c r="E73" s="694"/>
      <c r="F73" s="694"/>
      <c r="G73" s="702"/>
      <c r="H73" s="8"/>
    </row>
    <row r="74" spans="2:11" x14ac:dyDescent="0.2">
      <c r="B74" s="68" t="s">
        <v>0</v>
      </c>
      <c r="C74" s="11" t="s">
        <v>1</v>
      </c>
      <c r="D74" s="11" t="s">
        <v>2</v>
      </c>
      <c r="E74" s="11" t="s">
        <v>3</v>
      </c>
      <c r="F74" s="11" t="s">
        <v>4</v>
      </c>
      <c r="G74" s="11" t="s">
        <v>5</v>
      </c>
      <c r="H74" s="12"/>
    </row>
    <row r="75" spans="2:11" x14ac:dyDescent="0.2">
      <c r="B75" s="74"/>
      <c r="C75" s="32" t="s">
        <v>26</v>
      </c>
      <c r="D75" s="33"/>
      <c r="E75" s="34"/>
      <c r="F75" s="33"/>
      <c r="G75" s="352">
        <f>G66</f>
        <v>0</v>
      </c>
      <c r="H75" s="36"/>
    </row>
    <row r="76" spans="2:11" x14ac:dyDescent="0.2">
      <c r="B76" s="470"/>
      <c r="C76" s="30"/>
      <c r="D76" s="463"/>
      <c r="E76" s="257"/>
      <c r="F76" s="463"/>
      <c r="G76" s="25"/>
      <c r="H76" s="36"/>
    </row>
    <row r="77" spans="2:11" ht="24" x14ac:dyDescent="0.2">
      <c r="B77" s="159" t="s">
        <v>636</v>
      </c>
      <c r="C77" s="375" t="s">
        <v>637</v>
      </c>
      <c r="D77" s="92"/>
      <c r="E77" s="61"/>
      <c r="F77" s="16"/>
      <c r="G77" s="25"/>
      <c r="H77" s="36"/>
    </row>
    <row r="78" spans="2:11" x14ac:dyDescent="0.2">
      <c r="B78" s="159"/>
      <c r="C78" s="375"/>
      <c r="D78" s="92"/>
      <c r="E78" s="61"/>
      <c r="F78" s="16"/>
      <c r="G78" s="25"/>
      <c r="H78" s="36"/>
    </row>
    <row r="79" spans="2:11" x14ac:dyDescent="0.2">
      <c r="B79" s="95" t="s">
        <v>638</v>
      </c>
      <c r="C79" s="126" t="s">
        <v>639</v>
      </c>
      <c r="D79" s="94" t="s">
        <v>33</v>
      </c>
      <c r="E79" s="61">
        <v>8</v>
      </c>
      <c r="F79" s="16"/>
      <c r="G79" s="25">
        <f t="shared" ref="G79:G101" si="3">IF(D79="","",E79*F79)</f>
        <v>0</v>
      </c>
      <c r="H79" s="36"/>
    </row>
    <row r="80" spans="2:11" x14ac:dyDescent="0.2">
      <c r="B80" s="95"/>
      <c r="C80" s="93"/>
      <c r="D80" s="92"/>
      <c r="E80" s="61"/>
      <c r="F80" s="16"/>
      <c r="G80" s="25" t="str">
        <f t="shared" si="3"/>
        <v/>
      </c>
      <c r="H80" s="36"/>
    </row>
    <row r="81" spans="2:8" x14ac:dyDescent="0.2">
      <c r="B81" s="95" t="s">
        <v>640</v>
      </c>
      <c r="C81" s="93" t="s">
        <v>641</v>
      </c>
      <c r="D81" s="92" t="s">
        <v>33</v>
      </c>
      <c r="E81" s="61">
        <v>4</v>
      </c>
      <c r="F81" s="16"/>
      <c r="G81" s="25">
        <f t="shared" si="3"/>
        <v>0</v>
      </c>
      <c r="H81" s="36"/>
    </row>
    <row r="82" spans="2:8" x14ac:dyDescent="0.2">
      <c r="B82" s="95"/>
      <c r="C82" s="93"/>
      <c r="D82" s="92"/>
      <c r="E82" s="61"/>
      <c r="F82" s="16"/>
      <c r="G82" s="25" t="str">
        <f t="shared" si="3"/>
        <v/>
      </c>
      <c r="H82" s="36"/>
    </row>
    <row r="83" spans="2:8" x14ac:dyDescent="0.2">
      <c r="B83" s="102" t="s">
        <v>216</v>
      </c>
      <c r="C83" s="377" t="s">
        <v>642</v>
      </c>
      <c r="D83" s="92" t="s">
        <v>33</v>
      </c>
      <c r="E83" s="61">
        <v>2</v>
      </c>
      <c r="F83" s="16"/>
      <c r="G83" s="25">
        <f t="shared" si="3"/>
        <v>0</v>
      </c>
      <c r="H83" s="36"/>
    </row>
    <row r="84" spans="2:8" x14ac:dyDescent="0.2">
      <c r="B84" s="102"/>
      <c r="C84" s="93"/>
      <c r="D84" s="92"/>
      <c r="E84" s="61"/>
      <c r="F84" s="16"/>
      <c r="G84" s="25" t="str">
        <f t="shared" si="3"/>
        <v/>
      </c>
      <c r="H84" s="36"/>
    </row>
    <row r="85" spans="2:8" x14ac:dyDescent="0.2">
      <c r="B85" s="95" t="s">
        <v>643</v>
      </c>
      <c r="C85" s="93" t="s">
        <v>644</v>
      </c>
      <c r="D85" s="94" t="s">
        <v>33</v>
      </c>
      <c r="E85" s="61">
        <v>2</v>
      </c>
      <c r="F85" s="16"/>
      <c r="G85" s="25">
        <f t="shared" si="3"/>
        <v>0</v>
      </c>
      <c r="H85" s="36"/>
    </row>
    <row r="86" spans="2:8" x14ac:dyDescent="0.2">
      <c r="B86" s="95"/>
      <c r="C86" s="93"/>
      <c r="D86" s="94"/>
      <c r="E86" s="61"/>
      <c r="F86" s="16"/>
      <c r="G86" s="25" t="str">
        <f t="shared" si="3"/>
        <v/>
      </c>
      <c r="H86" s="36"/>
    </row>
    <row r="87" spans="2:8" x14ac:dyDescent="0.2">
      <c r="B87" s="95" t="s">
        <v>1013</v>
      </c>
      <c r="C87" s="93" t="s">
        <v>662</v>
      </c>
      <c r="D87" s="94" t="s">
        <v>33</v>
      </c>
      <c r="E87" s="61">
        <v>2</v>
      </c>
      <c r="F87" s="16"/>
      <c r="G87" s="25">
        <f t="shared" si="3"/>
        <v>0</v>
      </c>
      <c r="H87" s="36"/>
    </row>
    <row r="88" spans="2:8" x14ac:dyDescent="0.2">
      <c r="B88" s="95"/>
      <c r="C88" s="93"/>
      <c r="D88" s="94"/>
      <c r="E88" s="61"/>
      <c r="F88" s="16"/>
      <c r="G88" s="25" t="str">
        <f t="shared" si="3"/>
        <v/>
      </c>
      <c r="H88" s="36"/>
    </row>
    <row r="89" spans="2:8" ht="36" x14ac:dyDescent="0.2">
      <c r="B89" s="95" t="s">
        <v>1014</v>
      </c>
      <c r="C89" s="93" t="s">
        <v>1015</v>
      </c>
      <c r="D89" s="94" t="s">
        <v>33</v>
      </c>
      <c r="E89" s="61">
        <v>2</v>
      </c>
      <c r="F89" s="16"/>
      <c r="G89" s="25">
        <f t="shared" si="3"/>
        <v>0</v>
      </c>
      <c r="H89" s="36"/>
    </row>
    <row r="90" spans="2:8" x14ac:dyDescent="0.2">
      <c r="B90" s="51"/>
      <c r="C90" s="14"/>
      <c r="D90" s="22"/>
      <c r="E90" s="22"/>
      <c r="F90" s="16"/>
      <c r="G90" s="25" t="str">
        <f t="shared" si="3"/>
        <v/>
      </c>
      <c r="H90" s="42"/>
    </row>
    <row r="91" spans="2:8" ht="24" x14ac:dyDescent="0.2">
      <c r="B91" s="98" t="s">
        <v>652</v>
      </c>
      <c r="C91" s="375" t="s">
        <v>653</v>
      </c>
      <c r="D91" s="94"/>
      <c r="E91" s="61"/>
      <c r="F91" s="16"/>
      <c r="G91" s="25" t="str">
        <f t="shared" si="3"/>
        <v/>
      </c>
      <c r="H91" s="42"/>
    </row>
    <row r="92" spans="2:8" x14ac:dyDescent="0.2">
      <c r="B92" s="102"/>
      <c r="C92" s="380"/>
      <c r="D92" s="91"/>
      <c r="E92" s="22"/>
      <c r="F92" s="16"/>
      <c r="G92" s="25" t="str">
        <f t="shared" si="3"/>
        <v/>
      </c>
      <c r="H92" s="42"/>
    </row>
    <row r="93" spans="2:8" x14ac:dyDescent="0.2">
      <c r="B93" s="95" t="s">
        <v>654</v>
      </c>
      <c r="C93" s="93" t="s">
        <v>655</v>
      </c>
      <c r="D93" s="94" t="s">
        <v>33</v>
      </c>
      <c r="E93" s="22">
        <v>3</v>
      </c>
      <c r="F93" s="16"/>
      <c r="G93" s="25">
        <f t="shared" si="3"/>
        <v>0</v>
      </c>
      <c r="H93" s="42"/>
    </row>
    <row r="94" spans="2:8" x14ac:dyDescent="0.2">
      <c r="B94" s="102"/>
      <c r="C94" s="93"/>
      <c r="D94" s="92"/>
      <c r="E94" s="22"/>
      <c r="F94" s="16"/>
      <c r="G94" s="25" t="str">
        <f t="shared" si="3"/>
        <v/>
      </c>
      <c r="H94" s="42"/>
    </row>
    <row r="95" spans="2:8" x14ac:dyDescent="0.2">
      <c r="B95" s="95" t="s">
        <v>656</v>
      </c>
      <c r="C95" s="126" t="s">
        <v>657</v>
      </c>
      <c r="D95" s="94" t="s">
        <v>33</v>
      </c>
      <c r="E95" s="22">
        <v>300</v>
      </c>
      <c r="F95" s="16"/>
      <c r="G95" s="25">
        <f t="shared" si="3"/>
        <v>0</v>
      </c>
      <c r="H95" s="150"/>
    </row>
    <row r="96" spans="2:8" x14ac:dyDescent="0.2">
      <c r="B96" s="102"/>
      <c r="C96" s="93"/>
      <c r="D96" s="92"/>
      <c r="E96" s="22"/>
      <c r="F96" s="16"/>
      <c r="G96" s="25" t="str">
        <f t="shared" si="3"/>
        <v/>
      </c>
      <c r="H96" s="150"/>
    </row>
    <row r="97" spans="2:8" x14ac:dyDescent="0.2">
      <c r="B97" s="95" t="s">
        <v>645</v>
      </c>
      <c r="C97" s="93" t="s">
        <v>215</v>
      </c>
      <c r="D97" s="94" t="s">
        <v>33</v>
      </c>
      <c r="E97" s="22">
        <v>300</v>
      </c>
      <c r="F97" s="16"/>
      <c r="G97" s="25">
        <f t="shared" si="3"/>
        <v>0</v>
      </c>
      <c r="H97" s="150"/>
    </row>
    <row r="98" spans="2:8" x14ac:dyDescent="0.2">
      <c r="B98" s="102"/>
      <c r="C98" s="93"/>
      <c r="D98" s="92"/>
      <c r="E98" s="22"/>
      <c r="F98" s="16"/>
      <c r="G98" s="25" t="str">
        <f t="shared" si="3"/>
        <v/>
      </c>
      <c r="H98" s="150"/>
    </row>
    <row r="99" spans="2:8" x14ac:dyDescent="0.2">
      <c r="B99" s="95" t="s">
        <v>646</v>
      </c>
      <c r="C99" s="93" t="s">
        <v>647</v>
      </c>
      <c r="D99" s="94" t="s">
        <v>33</v>
      </c>
      <c r="E99" s="22">
        <v>200</v>
      </c>
      <c r="F99" s="16"/>
      <c r="G99" s="25">
        <f t="shared" si="3"/>
        <v>0</v>
      </c>
      <c r="H99" s="150"/>
    </row>
    <row r="100" spans="2:8" x14ac:dyDescent="0.2">
      <c r="B100" s="102"/>
      <c r="D100" s="92"/>
      <c r="E100" s="22"/>
      <c r="F100" s="16"/>
      <c r="G100" s="25" t="str">
        <f t="shared" si="3"/>
        <v/>
      </c>
      <c r="H100" s="150"/>
    </row>
    <row r="101" spans="2:8" ht="24" x14ac:dyDescent="0.2">
      <c r="B101" s="95" t="s">
        <v>648</v>
      </c>
      <c r="C101" s="126" t="s">
        <v>649</v>
      </c>
      <c r="D101" s="94" t="s">
        <v>33</v>
      </c>
      <c r="E101" s="22">
        <v>1800</v>
      </c>
      <c r="F101" s="16"/>
      <c r="G101" s="25">
        <f t="shared" si="3"/>
        <v>0</v>
      </c>
      <c r="H101" s="150"/>
    </row>
    <row r="102" spans="2:8" x14ac:dyDescent="0.2">
      <c r="B102" s="102"/>
      <c r="C102" s="93"/>
      <c r="D102" s="92"/>
      <c r="E102" s="22"/>
      <c r="F102" s="16"/>
      <c r="G102" s="25"/>
      <c r="H102" s="150"/>
    </row>
    <row r="103" spans="2:8" ht="24" x14ac:dyDescent="0.2">
      <c r="B103" s="95" t="s">
        <v>650</v>
      </c>
      <c r="C103" s="93" t="s">
        <v>651</v>
      </c>
      <c r="D103" s="94" t="s">
        <v>33</v>
      </c>
      <c r="E103" s="22">
        <v>200</v>
      </c>
      <c r="F103" s="16"/>
      <c r="G103" s="25">
        <f t="shared" ref="G103:G110" si="4">IF(D103="","",E103*F103)</f>
        <v>0</v>
      </c>
      <c r="H103" s="150"/>
    </row>
    <row r="104" spans="2:8" x14ac:dyDescent="0.2">
      <c r="B104" s="95"/>
      <c r="C104" s="93"/>
      <c r="D104" s="94"/>
      <c r="E104" s="22"/>
      <c r="F104" s="16"/>
      <c r="G104" s="25" t="str">
        <f t="shared" si="4"/>
        <v/>
      </c>
      <c r="H104" s="150"/>
    </row>
    <row r="105" spans="2:8" x14ac:dyDescent="0.2">
      <c r="B105" s="95" t="s">
        <v>1016</v>
      </c>
      <c r="C105" s="93" t="s">
        <v>1017</v>
      </c>
      <c r="D105" s="94" t="s">
        <v>33</v>
      </c>
      <c r="E105" s="22">
        <v>300</v>
      </c>
      <c r="F105" s="16"/>
      <c r="G105" s="25">
        <f t="shared" si="4"/>
        <v>0</v>
      </c>
      <c r="H105" s="150"/>
    </row>
    <row r="106" spans="2:8" x14ac:dyDescent="0.2">
      <c r="B106" s="160"/>
      <c r="C106" s="93"/>
      <c r="D106" s="92"/>
      <c r="E106" s="22"/>
      <c r="F106" s="16"/>
      <c r="G106" s="25" t="str">
        <f t="shared" si="4"/>
        <v/>
      </c>
      <c r="H106" s="42"/>
    </row>
    <row r="107" spans="2:8" hidden="1" x14ac:dyDescent="0.2">
      <c r="B107" s="95" t="s">
        <v>1018</v>
      </c>
      <c r="C107" s="93" t="s">
        <v>1019</v>
      </c>
      <c r="D107" s="94" t="s">
        <v>33</v>
      </c>
      <c r="E107" s="22">
        <v>0</v>
      </c>
      <c r="F107" s="16"/>
      <c r="G107" s="25">
        <f t="shared" si="4"/>
        <v>0</v>
      </c>
      <c r="H107" s="42"/>
    </row>
    <row r="108" spans="2:8" hidden="1" x14ac:dyDescent="0.2">
      <c r="B108" s="160"/>
      <c r="C108" s="93"/>
      <c r="D108" s="92"/>
      <c r="E108" s="22"/>
      <c r="F108" s="16"/>
      <c r="G108" s="25" t="str">
        <f t="shared" si="4"/>
        <v/>
      </c>
      <c r="H108" s="42"/>
    </row>
    <row r="109" spans="2:8" x14ac:dyDescent="0.2">
      <c r="B109" s="102" t="s">
        <v>1020</v>
      </c>
      <c r="C109" s="380" t="s">
        <v>1021</v>
      </c>
      <c r="D109" s="92" t="s">
        <v>33</v>
      </c>
      <c r="E109" s="22">
        <v>1400</v>
      </c>
      <c r="F109" s="16"/>
      <c r="G109" s="25">
        <f t="shared" si="4"/>
        <v>0</v>
      </c>
      <c r="H109" s="42"/>
    </row>
    <row r="110" spans="2:8" x14ac:dyDescent="0.2">
      <c r="B110" s="160"/>
      <c r="C110" s="126"/>
      <c r="D110" s="92"/>
      <c r="E110" s="22"/>
      <c r="F110" s="16"/>
      <c r="G110" s="25" t="str">
        <f t="shared" si="4"/>
        <v/>
      </c>
      <c r="H110" s="42"/>
    </row>
    <row r="111" spans="2:8" x14ac:dyDescent="0.2">
      <c r="B111" s="102"/>
      <c r="C111" s="126"/>
      <c r="D111" s="92"/>
      <c r="E111" s="22"/>
      <c r="F111" s="16"/>
      <c r="G111" s="25"/>
      <c r="H111" s="42"/>
    </row>
    <row r="112" spans="2:8" x14ac:dyDescent="0.2">
      <c r="B112" s="51"/>
      <c r="C112" s="14"/>
      <c r="D112" s="22"/>
      <c r="E112" s="22"/>
      <c r="F112" s="16"/>
      <c r="G112" s="25"/>
      <c r="H112" s="42"/>
    </row>
    <row r="113" spans="2:8" x14ac:dyDescent="0.2">
      <c r="B113" s="51"/>
      <c r="C113" s="14"/>
      <c r="D113" s="22"/>
      <c r="E113" s="22"/>
      <c r="F113" s="16"/>
      <c r="G113" s="25" t="str">
        <f t="shared" ref="G113:G116" si="5">IF(D113="","",E113*F113)</f>
        <v/>
      </c>
      <c r="H113" s="42"/>
    </row>
    <row r="114" spans="2:8" x14ac:dyDescent="0.2">
      <c r="B114" s="69"/>
      <c r="C114" s="14"/>
      <c r="D114" s="22"/>
      <c r="E114" s="22"/>
      <c r="F114" s="16"/>
      <c r="G114" s="25" t="str">
        <f t="shared" si="5"/>
        <v/>
      </c>
      <c r="H114" s="42"/>
    </row>
    <row r="115" spans="2:8" x14ac:dyDescent="0.2">
      <c r="B115" s="69"/>
      <c r="C115" s="14"/>
      <c r="D115" s="22"/>
      <c r="E115" s="151"/>
      <c r="F115" s="16"/>
      <c r="G115" s="25" t="str">
        <f t="shared" si="5"/>
        <v/>
      </c>
      <c r="H115" s="42"/>
    </row>
    <row r="116" spans="2:8" x14ac:dyDescent="0.2">
      <c r="B116" s="51"/>
      <c r="C116" s="14"/>
      <c r="D116" s="22"/>
      <c r="E116" s="22"/>
      <c r="F116" s="41"/>
      <c r="G116" s="25" t="str">
        <f t="shared" si="5"/>
        <v/>
      </c>
      <c r="H116" s="42"/>
    </row>
    <row r="117" spans="2:8" x14ac:dyDescent="0.2">
      <c r="B117" s="74" t="str">
        <f>B66</f>
        <v>C11.4</v>
      </c>
      <c r="C117" s="32" t="s">
        <v>700</v>
      </c>
      <c r="D117" s="33"/>
      <c r="E117" s="34"/>
      <c r="F117" s="33"/>
      <c r="G117" s="352">
        <f>SUM(G75:G116)</f>
        <v>0</v>
      </c>
      <c r="H117" s="36"/>
    </row>
  </sheetData>
  <mergeCells count="11">
    <mergeCell ref="B70:F70"/>
    <mergeCell ref="G70:G73"/>
    <mergeCell ref="B71:F73"/>
    <mergeCell ref="E2:G2"/>
    <mergeCell ref="B5:F5"/>
    <mergeCell ref="G5:G8"/>
    <mergeCell ref="B6:F8"/>
    <mergeCell ref="B67:D67"/>
    <mergeCell ref="E67:G69"/>
    <mergeCell ref="B68:D68"/>
    <mergeCell ref="B69:D69"/>
  </mergeCell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6" max="7" man="1"/>
  </rowBreaks>
  <extLst>
    <ext xmlns:x14="http://schemas.microsoft.com/office/spreadsheetml/2009/9/main" uri="{78C0D931-6437-407d-A8EE-F0AAD7539E65}">
      <x14:conditionalFormattings>
        <x14:conditionalFormatting xmlns:xm="http://schemas.microsoft.com/office/excel/2006/main">
          <x14:cfRule type="expression" priority="6" id="{3A978C12-7D1C-4166-B7B4-BD7E7B3AC4E8}">
            <xm:f>AND(Information!$C$8=FALSE,$D10&lt;&gt;"P C Sum",$D10&lt;&gt;"PC Sum",$D10&lt;&gt;"P Sum",$D10&lt;&gt;"Prov Sum")</xm:f>
            <x14:dxf>
              <font>
                <strike val="0"/>
                <color theme="0"/>
              </font>
              <numFmt numFmtId="4" formatCode="#,##0.00"/>
            </x14:dxf>
          </x14:cfRule>
          <xm:sqref>F92 F10:G65 G79:G92 F77:F89 F93:G115</xm:sqref>
        </x14:conditionalFormatting>
        <x14:conditionalFormatting xmlns:xm="http://schemas.microsoft.com/office/excel/2006/main">
          <x14:cfRule type="expression" priority="5" id="{DFB20B6A-7E49-4BDF-A966-064B2248B679}">
            <xm:f>AND(Information!$C$8=FALSE,$D66&lt;&gt;"P C Sum",$D66&lt;&gt;"PC Sum",$D66&lt;&gt;"P Sum",$D66&lt;&gt;"Prov Sum")</xm:f>
            <x14:dxf>
              <font>
                <strike val="0"/>
                <color theme="0"/>
              </font>
              <numFmt numFmtId="4" formatCode="#,##0.00"/>
            </x14:dxf>
          </x14:cfRule>
          <xm:sqref>G66</xm:sqref>
        </x14:conditionalFormatting>
        <x14:conditionalFormatting xmlns:xm="http://schemas.microsoft.com/office/excel/2006/main">
          <x14:cfRule type="expression" priority="4" id="{ACDABA88-CCEB-49FD-B333-40C00DF6B7D6}">
            <xm:f>AND(Information!$C$8=FALSE,$D116&lt;&gt;"P C Sum",$D116&lt;&gt;"PC Sum",$D116&lt;&gt;"P Sum",$D116&lt;&gt;"Prov Sum")</xm:f>
            <x14:dxf>
              <font>
                <strike val="0"/>
                <color theme="0"/>
              </font>
              <numFmt numFmtId="4" formatCode="#,##0.00"/>
            </x14:dxf>
          </x14:cfRule>
          <xm:sqref>G116</xm:sqref>
        </x14:conditionalFormatting>
        <x14:conditionalFormatting xmlns:xm="http://schemas.microsoft.com/office/excel/2006/main">
          <x14:cfRule type="expression" priority="3" id="{C7B5B8E0-27C2-4232-A90F-6D5E39F140E0}">
            <xm:f>AND(Information!$C$8=FALSE,$D75&lt;&gt;"P C Sum",$D75&lt;&gt;"PC Sum",$D75&lt;&gt;"P Sum",$D75&lt;&gt;"Prov Sum")</xm:f>
            <x14:dxf>
              <font>
                <strike val="0"/>
                <color theme="0"/>
              </font>
              <numFmt numFmtId="4" formatCode="#,##0.00"/>
            </x14:dxf>
          </x14:cfRule>
          <xm:sqref>G75:G78</xm:sqref>
        </x14:conditionalFormatting>
        <x14:conditionalFormatting xmlns:xm="http://schemas.microsoft.com/office/excel/2006/main">
          <x14:cfRule type="expression" priority="2" id="{C86AEBCC-1C07-453C-80BE-688DFBAAB4CD}">
            <xm:f>AND(Information!$C$8=FALSE,$D117&lt;&gt;"P C Sum",$D117&lt;&gt;"PC Sum",$D117&lt;&gt;"P Sum",$D117&lt;&gt;"Prov Sum")</xm:f>
            <x14:dxf>
              <font>
                <strike val="0"/>
                <color theme="0"/>
              </font>
              <numFmt numFmtId="4" formatCode="#,##0.00"/>
            </x14:dxf>
          </x14:cfRule>
          <xm:sqref>G117</xm:sqref>
        </x14:conditionalFormatting>
        <x14:conditionalFormatting xmlns:xm="http://schemas.microsoft.com/office/excel/2006/main">
          <x14:cfRule type="expression" priority="1" id="{91D13B9D-7C5B-4889-8AAE-71A3DC758EF4}">
            <xm:f>AND(Information!$C$8=FALSE,$D91&lt;&gt;"P C Sum",$D91&lt;&gt;"PC Sum",$D91&lt;&gt;"P Sum",$D91&lt;&gt;"Prov Sum")</xm:f>
            <x14:dxf>
              <font>
                <strike val="0"/>
                <color theme="0"/>
              </font>
              <numFmt numFmtId="4" formatCode="#,##0.00"/>
            </x14:dxf>
          </x14:cfRule>
          <xm:sqref>F91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8893-5A6F-4EB5-B58F-A34FAFCF139F}">
  <sheetPr>
    <tabColor theme="9" tint="0.79998168889431442"/>
    <pageSetUpPr fitToPage="1"/>
  </sheetPr>
  <dimension ref="B1:M94"/>
  <sheetViews>
    <sheetView view="pageBreakPreview" zoomScale="85" zoomScaleNormal="125" zoomScaleSheetLayoutView="85" zoomScalePageLayoutView="125" workbookViewId="0">
      <pane xSplit="4" ySplit="2" topLeftCell="E42" activePane="bottomRight" state="frozen"/>
      <selection activeCell="G5" sqref="G5:G8"/>
      <selection pane="topRight" activeCell="G5" sqref="G5:G8"/>
      <selection pane="bottomLeft" activeCell="G5" sqref="G5:G8"/>
      <selection pane="bottomRight" activeCell="N126" sqref="N126"/>
    </sheetView>
  </sheetViews>
  <sheetFormatPr defaultColWidth="8.85546875" defaultRowHeight="12" x14ac:dyDescent="0.2"/>
  <cols>
    <col min="1" max="1" width="0.85546875" style="85" customWidth="1"/>
    <col min="2" max="2" width="11.5703125" style="89" customWidth="1"/>
    <col min="3" max="3" width="45.5703125" style="88" customWidth="1"/>
    <col min="4" max="4" width="13.5703125" style="87" customWidth="1"/>
    <col min="5" max="5" width="15.5703125" style="87" customWidth="1"/>
    <col min="6" max="6" width="15.5703125" style="85" customWidth="1"/>
    <col min="7" max="7" width="15.5703125" style="86" customWidth="1"/>
    <col min="8" max="8" width="0.85546875" style="86" customWidth="1"/>
    <col min="9" max="10" width="8.85546875" style="85"/>
    <col min="11" max="11" width="10.42578125" style="85" bestFit="1" customWidth="1"/>
    <col min="12" max="16384" width="8.85546875" style="85"/>
  </cols>
  <sheetData>
    <row r="1" spans="2:13" ht="12.75" x14ac:dyDescent="0.2">
      <c r="G1" s="166">
        <f>MAX(G9:G529)</f>
        <v>0</v>
      </c>
    </row>
    <row r="2" spans="2:13" x14ac:dyDescent="0.2">
      <c r="B2" s="112" t="str">
        <f>Client1</f>
        <v>Province of KwaZulu-Natal</v>
      </c>
      <c r="E2" s="718" t="str">
        <f>"Contract No. "&amp;ContractNo</f>
        <v>Contract No. ZNB02287/00000/00/MET/INF/24/T</v>
      </c>
      <c r="F2" s="718"/>
      <c r="G2" s="718"/>
      <c r="J2" s="293"/>
      <c r="K2" s="293">
        <f>MAX(K3:K274)</f>
        <v>108000</v>
      </c>
      <c r="L2" s="293"/>
      <c r="M2" s="294"/>
    </row>
    <row r="3" spans="2:13" ht="12.75" x14ac:dyDescent="0.2">
      <c r="B3" s="111" t="str">
        <f>Client2</f>
        <v>Department of Transport</v>
      </c>
      <c r="J3" s="1" t="s">
        <v>470</v>
      </c>
      <c r="K3" s="1" t="s">
        <v>471</v>
      </c>
      <c r="L3" s="1" t="s">
        <v>472</v>
      </c>
      <c r="M3" s="1" t="s">
        <v>473</v>
      </c>
    </row>
    <row r="4" spans="2:13" ht="12.75" x14ac:dyDescent="0.2">
      <c r="B4" s="88"/>
      <c r="J4" s="73"/>
      <c r="K4" s="73"/>
      <c r="L4" s="73"/>
      <c r="M4" s="73"/>
    </row>
    <row r="5" spans="2:13" ht="12.75" customHeight="1" x14ac:dyDescent="0.2">
      <c r="B5" s="722" t="s">
        <v>8</v>
      </c>
      <c r="C5" s="723"/>
      <c r="D5" s="723"/>
      <c r="E5" s="723"/>
      <c r="F5" s="723"/>
      <c r="G5" s="719" t="str">
        <f>"CHAPTER "&amp;B11</f>
        <v>CHAPTER C11.7</v>
      </c>
      <c r="H5" s="113"/>
      <c r="J5" s="1"/>
      <c r="K5" s="1"/>
      <c r="L5" s="1"/>
      <c r="M5" s="1"/>
    </row>
    <row r="6" spans="2:13" ht="7.5" customHeight="1" x14ac:dyDescent="0.2">
      <c r="B6" s="724" t="str">
        <f>ContractDescription</f>
        <v>PROVISION OF ROUTINE AND SAFETY MAINTENANCE ON MIAN ROAD P3/1 (KM 69.00 TO KM 77.96), P3/2 (KM 0.00 TO KM 11.50), P21/2(KM 0.00 TO KM 29.83 IN THE ETHEKWINI METRO - DURBAN REGION</v>
      </c>
      <c r="C6" s="725"/>
      <c r="D6" s="725"/>
      <c r="E6" s="725"/>
      <c r="F6" s="725"/>
      <c r="G6" s="720"/>
      <c r="H6" s="110"/>
      <c r="J6" s="1"/>
      <c r="K6" s="1"/>
      <c r="L6" s="1"/>
      <c r="M6" s="1"/>
    </row>
    <row r="7" spans="2:13" ht="12.75" customHeight="1" x14ac:dyDescent="0.2">
      <c r="B7" s="724"/>
      <c r="C7" s="725"/>
      <c r="D7" s="725"/>
      <c r="E7" s="725"/>
      <c r="F7" s="725"/>
      <c r="G7" s="720"/>
      <c r="H7" s="110"/>
      <c r="J7" s="1"/>
      <c r="K7" s="1"/>
      <c r="L7" s="1"/>
      <c r="M7" s="1"/>
    </row>
    <row r="8" spans="2:13" s="108" customFormat="1" ht="7.5" customHeight="1" x14ac:dyDescent="0.2">
      <c r="B8" s="726"/>
      <c r="C8" s="727"/>
      <c r="D8" s="727"/>
      <c r="E8" s="727"/>
      <c r="F8" s="727"/>
      <c r="G8" s="721"/>
      <c r="H8" s="109"/>
      <c r="J8" s="1"/>
      <c r="K8" s="1"/>
      <c r="L8" s="1"/>
      <c r="M8" s="1"/>
    </row>
    <row r="9" spans="2:13" s="9" customFormat="1" ht="24.95" customHeight="1" x14ac:dyDescent="0.2">
      <c r="B9" s="10" t="s">
        <v>0</v>
      </c>
      <c r="C9" s="11" t="s">
        <v>1</v>
      </c>
      <c r="D9" s="11" t="s">
        <v>2</v>
      </c>
      <c r="E9" s="11" t="s">
        <v>3</v>
      </c>
      <c r="F9" s="11" t="s">
        <v>4</v>
      </c>
      <c r="G9" s="11" t="s">
        <v>5</v>
      </c>
      <c r="H9" s="12"/>
      <c r="J9" s="11"/>
      <c r="K9" s="11"/>
      <c r="L9" s="11"/>
      <c r="M9" s="11"/>
    </row>
    <row r="10" spans="2:13" ht="12.75" x14ac:dyDescent="0.2">
      <c r="B10" s="95"/>
      <c r="C10" s="93"/>
      <c r="D10" s="92"/>
      <c r="E10" s="92"/>
      <c r="F10" s="16"/>
      <c r="G10" s="25" t="str">
        <f>IF(D10="","",E10*F10)</f>
        <v/>
      </c>
      <c r="H10" s="103"/>
      <c r="J10" s="16"/>
      <c r="K10" s="16"/>
      <c r="L10" s="16"/>
      <c r="M10" s="16"/>
    </row>
    <row r="11" spans="2:13" ht="12.75" x14ac:dyDescent="0.2">
      <c r="B11" s="379" t="s">
        <v>298</v>
      </c>
      <c r="C11" s="97" t="s">
        <v>297</v>
      </c>
      <c r="D11" s="92"/>
      <c r="E11" s="92"/>
      <c r="F11" s="16"/>
      <c r="G11" s="25" t="str">
        <f>IF(D11="","",E11*F11)</f>
        <v/>
      </c>
      <c r="H11" s="103"/>
      <c r="J11" s="41"/>
      <c r="K11" s="41"/>
      <c r="L11" s="41"/>
      <c r="M11" s="41"/>
    </row>
    <row r="12" spans="2:13" s="405" customFormat="1" ht="10.5" customHeight="1" x14ac:dyDescent="0.2">
      <c r="B12" s="392"/>
      <c r="C12" s="393"/>
      <c r="D12" s="401"/>
      <c r="E12" s="401"/>
      <c r="F12" s="396"/>
      <c r="G12" s="403" t="str">
        <f>IF(D12="","",E12*F12)</f>
        <v/>
      </c>
      <c r="H12" s="404"/>
      <c r="J12" s="406"/>
      <c r="K12" s="406"/>
      <c r="L12" s="406"/>
      <c r="M12" s="406"/>
    </row>
    <row r="13" spans="2:13" ht="12.75" x14ac:dyDescent="0.2">
      <c r="B13" s="159" t="s">
        <v>296</v>
      </c>
      <c r="C13" s="97" t="s">
        <v>295</v>
      </c>
      <c r="D13" s="92"/>
      <c r="E13" s="92"/>
      <c r="F13" s="16"/>
      <c r="G13" s="25"/>
      <c r="H13" s="103"/>
      <c r="J13" s="24"/>
      <c r="K13" s="46" t="str">
        <f t="shared" ref="K13:K81" si="0">IF(J13="","",J13*E13)</f>
        <v/>
      </c>
      <c r="L13" s="24"/>
      <c r="M13" s="24"/>
    </row>
    <row r="14" spans="2:13" s="405" customFormat="1" ht="11.25" x14ac:dyDescent="0.2">
      <c r="B14" s="407"/>
      <c r="C14" s="393"/>
      <c r="D14" s="401"/>
      <c r="E14" s="401"/>
      <c r="F14" s="396"/>
      <c r="G14" s="403"/>
      <c r="H14" s="404"/>
      <c r="J14" s="406"/>
      <c r="K14" s="408" t="str">
        <f t="shared" si="0"/>
        <v/>
      </c>
      <c r="L14" s="406"/>
      <c r="M14" s="406"/>
    </row>
    <row r="15" spans="2:13" ht="24" x14ac:dyDescent="0.2">
      <c r="B15" s="95" t="s">
        <v>294</v>
      </c>
      <c r="C15" s="93" t="s">
        <v>412</v>
      </c>
      <c r="D15" s="94"/>
      <c r="E15" s="99"/>
      <c r="F15" s="16"/>
      <c r="G15" s="25" t="str">
        <f t="shared" ref="G15:G31" si="1">IF(D15="","",E15*F15)</f>
        <v/>
      </c>
      <c r="H15" s="106"/>
      <c r="J15" s="41"/>
      <c r="K15" s="46" t="str">
        <f t="shared" si="0"/>
        <v/>
      </c>
      <c r="L15" s="41"/>
      <c r="M15" s="41"/>
    </row>
    <row r="16" spans="2:13" s="405" customFormat="1" ht="11.25" x14ac:dyDescent="0.2">
      <c r="B16" s="392"/>
      <c r="C16" s="393"/>
      <c r="D16" s="394"/>
      <c r="E16" s="395"/>
      <c r="F16" s="396"/>
      <c r="G16" s="403" t="str">
        <f t="shared" si="1"/>
        <v/>
      </c>
      <c r="H16" s="409"/>
      <c r="J16" s="406"/>
      <c r="K16" s="408" t="str">
        <f t="shared" si="0"/>
        <v/>
      </c>
      <c r="L16" s="406"/>
      <c r="M16" s="406"/>
    </row>
    <row r="17" spans="2:13" ht="12.75" x14ac:dyDescent="0.2">
      <c r="B17" s="95"/>
      <c r="C17" s="156" t="s">
        <v>413</v>
      </c>
      <c r="D17" s="157" t="s">
        <v>22</v>
      </c>
      <c r="E17" s="99">
        <v>480</v>
      </c>
      <c r="F17" s="16"/>
      <c r="G17" s="25">
        <f t="shared" si="1"/>
        <v>0</v>
      </c>
      <c r="H17" s="106"/>
      <c r="J17" s="338">
        <f>ROUND(3%*F17,0)</f>
        <v>0</v>
      </c>
      <c r="K17" s="46">
        <f t="shared" si="0"/>
        <v>0</v>
      </c>
      <c r="L17" s="41"/>
      <c r="M17" s="41"/>
    </row>
    <row r="18" spans="2:13" s="405" customFormat="1" ht="11.25" x14ac:dyDescent="0.2">
      <c r="B18" s="392"/>
      <c r="C18" s="397"/>
      <c r="D18" s="398"/>
      <c r="E18" s="395"/>
      <c r="F18" s="396"/>
      <c r="G18" s="403" t="str">
        <f t="shared" si="1"/>
        <v/>
      </c>
      <c r="H18" s="409"/>
      <c r="J18" s="406"/>
      <c r="K18" s="408" t="str">
        <f t="shared" si="0"/>
        <v/>
      </c>
      <c r="L18" s="406"/>
      <c r="M18" s="406"/>
    </row>
    <row r="19" spans="2:13" ht="12.75" x14ac:dyDescent="0.2">
      <c r="B19" s="95"/>
      <c r="C19" s="156" t="s">
        <v>414</v>
      </c>
      <c r="D19" s="157" t="s">
        <v>22</v>
      </c>
      <c r="E19" s="99">
        <v>150</v>
      </c>
      <c r="F19" s="16"/>
      <c r="G19" s="25">
        <f t="shared" si="1"/>
        <v>0</v>
      </c>
      <c r="H19" s="106"/>
      <c r="J19" s="338">
        <f>ROUND(3%*F19,0)</f>
        <v>0</v>
      </c>
      <c r="K19" s="46">
        <f t="shared" si="0"/>
        <v>0</v>
      </c>
      <c r="L19" s="41"/>
      <c r="M19" s="41"/>
    </row>
    <row r="20" spans="2:13" ht="12.75" x14ac:dyDescent="0.2">
      <c r="B20" s="95"/>
      <c r="C20" s="156"/>
      <c r="D20" s="157"/>
      <c r="E20" s="99"/>
      <c r="F20" s="16"/>
      <c r="G20" s="25" t="str">
        <f t="shared" si="1"/>
        <v/>
      </c>
      <c r="H20" s="106"/>
      <c r="J20" s="338"/>
      <c r="K20" s="46"/>
      <c r="L20" s="41"/>
      <c r="M20" s="41"/>
    </row>
    <row r="21" spans="2:13" ht="12.75" x14ac:dyDescent="0.2">
      <c r="B21" s="95"/>
      <c r="C21" s="156" t="s">
        <v>1054</v>
      </c>
      <c r="D21" s="157" t="s">
        <v>22</v>
      </c>
      <c r="E21" s="99">
        <v>3</v>
      </c>
      <c r="F21" s="16"/>
      <c r="G21" s="25">
        <f t="shared" si="1"/>
        <v>0</v>
      </c>
      <c r="H21" s="106"/>
      <c r="J21" s="338"/>
      <c r="K21" s="46"/>
      <c r="L21" s="41"/>
      <c r="M21" s="41"/>
    </row>
    <row r="22" spans="2:13" s="405" customFormat="1" ht="11.25" x14ac:dyDescent="0.2">
      <c r="B22" s="400"/>
      <c r="C22" s="393"/>
      <c r="D22" s="401"/>
      <c r="E22" s="399"/>
      <c r="F22" s="396"/>
      <c r="G22" s="403" t="str">
        <f t="shared" si="1"/>
        <v/>
      </c>
      <c r="H22" s="404"/>
      <c r="J22" s="406"/>
      <c r="K22" s="408" t="str">
        <f t="shared" si="0"/>
        <v/>
      </c>
      <c r="L22" s="406"/>
      <c r="M22" s="406"/>
    </row>
    <row r="23" spans="2:13" ht="24" x14ac:dyDescent="0.2">
      <c r="B23" s="95" t="s">
        <v>293</v>
      </c>
      <c r="C23" s="93" t="s">
        <v>415</v>
      </c>
      <c r="D23" s="94"/>
      <c r="E23" s="90"/>
      <c r="F23" s="16"/>
      <c r="G23" s="25" t="str">
        <f t="shared" si="1"/>
        <v/>
      </c>
      <c r="H23" s="103"/>
      <c r="J23" s="41"/>
      <c r="K23" s="46" t="str">
        <f t="shared" si="0"/>
        <v/>
      </c>
      <c r="L23" s="41"/>
      <c r="M23" s="41"/>
    </row>
    <row r="24" spans="2:13" s="405" customFormat="1" ht="11.25" x14ac:dyDescent="0.2">
      <c r="B24" s="392"/>
      <c r="C24" s="393"/>
      <c r="D24" s="394"/>
      <c r="E24" s="399"/>
      <c r="F24" s="396"/>
      <c r="G24" s="403" t="str">
        <f t="shared" si="1"/>
        <v/>
      </c>
      <c r="H24" s="404"/>
      <c r="J24" s="406"/>
      <c r="K24" s="408" t="str">
        <f t="shared" si="0"/>
        <v/>
      </c>
      <c r="L24" s="406"/>
      <c r="M24" s="406"/>
    </row>
    <row r="25" spans="2:13" ht="12.75" x14ac:dyDescent="0.2">
      <c r="B25" s="95"/>
      <c r="C25" s="156" t="s">
        <v>413</v>
      </c>
      <c r="D25" s="157" t="s">
        <v>22</v>
      </c>
      <c r="E25" s="90">
        <v>260</v>
      </c>
      <c r="F25" s="16"/>
      <c r="G25" s="25">
        <f t="shared" si="1"/>
        <v>0</v>
      </c>
      <c r="H25" s="103"/>
      <c r="J25" s="338">
        <f>ROUND(3%*F25,0)</f>
        <v>0</v>
      </c>
      <c r="K25" s="46">
        <f t="shared" si="0"/>
        <v>0</v>
      </c>
      <c r="L25" s="41"/>
      <c r="M25" s="41"/>
    </row>
    <row r="26" spans="2:13" ht="12.75" x14ac:dyDescent="0.2">
      <c r="B26" s="95"/>
      <c r="C26" s="156"/>
      <c r="D26" s="157"/>
      <c r="E26" s="90"/>
      <c r="F26" s="16"/>
      <c r="G26" s="25" t="str">
        <f t="shared" si="1"/>
        <v/>
      </c>
      <c r="H26" s="103"/>
      <c r="J26" s="338"/>
      <c r="K26" s="46"/>
      <c r="L26" s="41"/>
      <c r="M26" s="41"/>
    </row>
    <row r="27" spans="2:13" ht="12.75" x14ac:dyDescent="0.2">
      <c r="B27" s="95"/>
      <c r="C27" s="156" t="s">
        <v>414</v>
      </c>
      <c r="D27" s="157" t="s">
        <v>22</v>
      </c>
      <c r="E27" s="90">
        <v>12</v>
      </c>
      <c r="F27" s="16"/>
      <c r="G27" s="25">
        <f t="shared" si="1"/>
        <v>0</v>
      </c>
      <c r="H27" s="103"/>
      <c r="J27" s="338"/>
      <c r="K27" s="46"/>
      <c r="L27" s="41"/>
      <c r="M27" s="41"/>
    </row>
    <row r="28" spans="2:13" ht="12.75" x14ac:dyDescent="0.2">
      <c r="B28" s="95"/>
      <c r="C28" s="156"/>
      <c r="D28" s="157"/>
      <c r="E28" s="90"/>
      <c r="F28" s="16"/>
      <c r="G28" s="25" t="str">
        <f t="shared" si="1"/>
        <v/>
      </c>
      <c r="H28" s="103"/>
      <c r="J28" s="338"/>
      <c r="K28" s="46"/>
      <c r="L28" s="41"/>
      <c r="M28" s="41"/>
    </row>
    <row r="29" spans="2:13" ht="12.75" x14ac:dyDescent="0.2">
      <c r="B29" s="95"/>
      <c r="C29" s="156" t="s">
        <v>1054</v>
      </c>
      <c r="D29" s="157" t="s">
        <v>22</v>
      </c>
      <c r="E29" s="90">
        <v>3</v>
      </c>
      <c r="F29" s="16"/>
      <c r="G29" s="25">
        <f t="shared" si="1"/>
        <v>0</v>
      </c>
      <c r="H29" s="103"/>
      <c r="J29" s="338"/>
      <c r="K29" s="46"/>
      <c r="L29" s="41"/>
      <c r="M29" s="41"/>
    </row>
    <row r="30" spans="2:13" s="405" customFormat="1" ht="11.25" x14ac:dyDescent="0.2">
      <c r="B30" s="400"/>
      <c r="C30" s="393"/>
      <c r="D30" s="401"/>
      <c r="E30" s="399"/>
      <c r="F30" s="396"/>
      <c r="G30" s="403" t="str">
        <f t="shared" si="1"/>
        <v/>
      </c>
      <c r="H30" s="410"/>
      <c r="J30" s="406"/>
      <c r="K30" s="408" t="str">
        <f t="shared" si="0"/>
        <v/>
      </c>
      <c r="L30" s="406"/>
      <c r="M30" s="406"/>
    </row>
    <row r="31" spans="2:13" ht="24" hidden="1" x14ac:dyDescent="0.2">
      <c r="B31" s="95" t="s">
        <v>292</v>
      </c>
      <c r="C31" s="96" t="s">
        <v>416</v>
      </c>
      <c r="D31" s="94"/>
      <c r="E31" s="90"/>
      <c r="F31" s="16"/>
      <c r="G31" s="25" t="str">
        <f t="shared" si="1"/>
        <v/>
      </c>
      <c r="H31" s="104"/>
      <c r="J31" s="41"/>
      <c r="K31" s="46" t="str">
        <f t="shared" si="0"/>
        <v/>
      </c>
      <c r="L31" s="41"/>
      <c r="M31" s="41"/>
    </row>
    <row r="32" spans="2:13" s="405" customFormat="1" ht="11.25" hidden="1" x14ac:dyDescent="0.2">
      <c r="B32" s="392"/>
      <c r="C32" s="411"/>
      <c r="D32" s="394"/>
      <c r="E32" s="399"/>
      <c r="F32" s="396"/>
      <c r="G32" s="403"/>
      <c r="H32" s="412"/>
      <c r="J32" s="406"/>
      <c r="K32" s="408" t="str">
        <f t="shared" si="0"/>
        <v/>
      </c>
      <c r="L32" s="406"/>
      <c r="M32" s="406"/>
    </row>
    <row r="33" spans="2:13" ht="12.75" hidden="1" x14ac:dyDescent="0.2">
      <c r="B33" s="95"/>
      <c r="C33" s="156" t="s">
        <v>1055</v>
      </c>
      <c r="D33" s="94" t="s">
        <v>22</v>
      </c>
      <c r="E33" s="586">
        <v>0</v>
      </c>
      <c r="F33" s="16"/>
      <c r="G33" s="25">
        <f t="shared" ref="G33:G83" si="2">IF(D33="","",E33*F33)</f>
        <v>0</v>
      </c>
      <c r="H33" s="104"/>
      <c r="J33" s="338">
        <f>ROUND(3%*F33,0)</f>
        <v>0</v>
      </c>
      <c r="K33" s="46">
        <f t="shared" si="0"/>
        <v>0</v>
      </c>
      <c r="L33" s="41"/>
      <c r="M33" s="41"/>
    </row>
    <row r="34" spans="2:13" ht="12.75" x14ac:dyDescent="0.2">
      <c r="B34" s="95"/>
      <c r="C34" s="156"/>
      <c r="D34" s="157"/>
      <c r="E34" s="99"/>
      <c r="F34" s="16"/>
      <c r="G34" s="25" t="str">
        <f t="shared" si="2"/>
        <v/>
      </c>
      <c r="H34" s="106"/>
      <c r="J34" s="338"/>
      <c r="K34" s="46" t="str">
        <f t="shared" si="0"/>
        <v/>
      </c>
      <c r="L34" s="41"/>
      <c r="M34" s="41"/>
    </row>
    <row r="35" spans="2:13" ht="24" x14ac:dyDescent="0.2">
      <c r="B35" s="95" t="s">
        <v>1037</v>
      </c>
      <c r="C35" s="156" t="s">
        <v>1041</v>
      </c>
      <c r="D35" s="157" t="s">
        <v>51</v>
      </c>
      <c r="E35" s="99">
        <v>250</v>
      </c>
      <c r="F35" s="16"/>
      <c r="G35" s="25">
        <f t="shared" si="2"/>
        <v>0</v>
      </c>
      <c r="H35" s="106"/>
      <c r="J35" s="338"/>
      <c r="K35" s="46"/>
      <c r="L35" s="41"/>
      <c r="M35" s="41"/>
    </row>
    <row r="36" spans="2:13" ht="12.75" x14ac:dyDescent="0.2">
      <c r="B36" s="95"/>
      <c r="C36" s="156"/>
      <c r="D36" s="157"/>
      <c r="E36" s="99"/>
      <c r="F36" s="16"/>
      <c r="G36" s="25" t="str">
        <f t="shared" si="2"/>
        <v/>
      </c>
      <c r="H36" s="106"/>
      <c r="J36" s="338"/>
      <c r="K36" s="46"/>
      <c r="L36" s="41"/>
      <c r="M36" s="41"/>
    </row>
    <row r="37" spans="2:13" ht="24" x14ac:dyDescent="0.2">
      <c r="B37" s="95" t="s">
        <v>1038</v>
      </c>
      <c r="C37" s="156" t="s">
        <v>1042</v>
      </c>
      <c r="D37" s="157" t="s">
        <v>51</v>
      </c>
      <c r="E37" s="99">
        <v>90</v>
      </c>
      <c r="F37" s="16"/>
      <c r="G37" s="25">
        <f t="shared" si="2"/>
        <v>0</v>
      </c>
      <c r="H37" s="106"/>
      <c r="J37" s="338"/>
      <c r="K37" s="46"/>
      <c r="L37" s="41"/>
      <c r="M37" s="41"/>
    </row>
    <row r="38" spans="2:13" ht="12.75" x14ac:dyDescent="0.2">
      <c r="B38" s="95"/>
      <c r="C38" s="156"/>
      <c r="D38" s="157"/>
      <c r="E38" s="99"/>
      <c r="F38" s="16"/>
      <c r="G38" s="25" t="str">
        <f t="shared" si="2"/>
        <v/>
      </c>
      <c r="H38" s="106"/>
      <c r="J38" s="338"/>
      <c r="K38" s="46"/>
      <c r="L38" s="41"/>
      <c r="M38" s="41"/>
    </row>
    <row r="39" spans="2:13" ht="24" hidden="1" x14ac:dyDescent="0.2">
      <c r="B39" s="95" t="s">
        <v>1039</v>
      </c>
      <c r="C39" s="156" t="s">
        <v>1043</v>
      </c>
      <c r="D39" s="157" t="s">
        <v>51</v>
      </c>
      <c r="E39" s="99">
        <v>0</v>
      </c>
      <c r="F39" s="16"/>
      <c r="G39" s="25">
        <f t="shared" si="2"/>
        <v>0</v>
      </c>
      <c r="H39" s="106"/>
      <c r="J39" s="338"/>
      <c r="K39" s="46"/>
      <c r="L39" s="41"/>
      <c r="M39" s="41"/>
    </row>
    <row r="40" spans="2:13" ht="12.75" x14ac:dyDescent="0.2">
      <c r="B40" s="95"/>
      <c r="C40" s="156"/>
      <c r="D40" s="157"/>
      <c r="E40" s="99"/>
      <c r="F40" s="16"/>
      <c r="G40" s="25" t="str">
        <f t="shared" si="2"/>
        <v/>
      </c>
      <c r="H40" s="106"/>
      <c r="J40" s="338"/>
      <c r="K40" s="46"/>
      <c r="L40" s="41"/>
      <c r="M40" s="41"/>
    </row>
    <row r="41" spans="2:13" ht="36" x14ac:dyDescent="0.2">
      <c r="B41" s="95" t="s">
        <v>1040</v>
      </c>
      <c r="C41" s="156" t="s">
        <v>1044</v>
      </c>
      <c r="D41" s="157" t="s">
        <v>51</v>
      </c>
      <c r="E41" s="99">
        <v>2000</v>
      </c>
      <c r="F41" s="16"/>
      <c r="G41" s="25">
        <f t="shared" si="2"/>
        <v>0</v>
      </c>
      <c r="H41" s="106"/>
      <c r="J41" s="338"/>
      <c r="K41" s="46"/>
      <c r="L41" s="41"/>
      <c r="M41" s="41"/>
    </row>
    <row r="42" spans="2:13" s="405" customFormat="1" ht="11.25" x14ac:dyDescent="0.2">
      <c r="B42" s="400"/>
      <c r="C42" s="503"/>
      <c r="D42" s="414"/>
      <c r="E42" s="399"/>
      <c r="F42" s="396"/>
      <c r="G42" s="403"/>
      <c r="H42" s="412"/>
      <c r="J42" s="406"/>
      <c r="K42" s="408"/>
      <c r="L42" s="406"/>
      <c r="M42" s="406"/>
    </row>
    <row r="43" spans="2:13" ht="24" x14ac:dyDescent="0.2">
      <c r="B43" s="95" t="s">
        <v>291</v>
      </c>
      <c r="C43" s="96" t="s">
        <v>417</v>
      </c>
      <c r="D43" s="94" t="s">
        <v>324</v>
      </c>
      <c r="E43" s="90">
        <v>800</v>
      </c>
      <c r="F43" s="16"/>
      <c r="G43" s="25">
        <f t="shared" si="2"/>
        <v>0</v>
      </c>
      <c r="H43" s="106"/>
      <c r="J43" s="338">
        <f>ROUND(10%*F43,0)</f>
        <v>0</v>
      </c>
      <c r="K43" s="46">
        <f t="shared" si="0"/>
        <v>0</v>
      </c>
      <c r="L43" s="41"/>
      <c r="M43" s="41"/>
    </row>
    <row r="44" spans="2:13" s="405" customFormat="1" ht="11.25" x14ac:dyDescent="0.2">
      <c r="B44" s="400"/>
      <c r="C44" s="393"/>
      <c r="D44" s="401"/>
      <c r="E44" s="399"/>
      <c r="F44" s="396"/>
      <c r="G44" s="403" t="str">
        <f t="shared" si="2"/>
        <v/>
      </c>
      <c r="H44" s="404"/>
      <c r="J44" s="406"/>
      <c r="K44" s="408" t="str">
        <f t="shared" si="0"/>
        <v/>
      </c>
      <c r="L44" s="406"/>
      <c r="M44" s="406"/>
    </row>
    <row r="45" spans="2:13" ht="24" x14ac:dyDescent="0.2">
      <c r="B45" s="95" t="s">
        <v>290</v>
      </c>
      <c r="C45" s="93" t="s">
        <v>418</v>
      </c>
      <c r="D45" s="94" t="s">
        <v>324</v>
      </c>
      <c r="E45" s="90">
        <v>1200</v>
      </c>
      <c r="F45" s="16"/>
      <c r="G45" s="25">
        <f t="shared" si="2"/>
        <v>0</v>
      </c>
      <c r="H45" s="103"/>
      <c r="J45" s="338">
        <f>ROUND(10%*F45,0)</f>
        <v>0</v>
      </c>
      <c r="K45" s="46">
        <f>IF(J45="","",J45*E45)</f>
        <v>0</v>
      </c>
      <c r="L45" s="41"/>
      <c r="M45" s="41"/>
    </row>
    <row r="46" spans="2:13" s="405" customFormat="1" ht="11.25" x14ac:dyDescent="0.2">
      <c r="B46" s="400"/>
      <c r="C46" s="393"/>
      <c r="D46" s="401"/>
      <c r="E46" s="399"/>
      <c r="F46" s="396"/>
      <c r="G46" s="403" t="str">
        <f t="shared" si="2"/>
        <v/>
      </c>
      <c r="H46" s="404"/>
      <c r="J46" s="406"/>
      <c r="K46" s="408" t="str">
        <f t="shared" si="0"/>
        <v/>
      </c>
      <c r="L46" s="406"/>
      <c r="M46" s="406"/>
    </row>
    <row r="47" spans="2:13" ht="36" x14ac:dyDescent="0.2">
      <c r="B47" s="95" t="s">
        <v>289</v>
      </c>
      <c r="C47" s="93" t="s">
        <v>419</v>
      </c>
      <c r="D47" s="94" t="s">
        <v>324</v>
      </c>
      <c r="E47" s="90">
        <v>400</v>
      </c>
      <c r="F47" s="16"/>
      <c r="G47" s="25">
        <f t="shared" si="2"/>
        <v>0</v>
      </c>
      <c r="H47" s="103"/>
      <c r="J47" s="338">
        <f>ROUND(10%*F47,0)</f>
        <v>0</v>
      </c>
      <c r="K47" s="46">
        <f>IF(J47="","",J47*E47)</f>
        <v>0</v>
      </c>
      <c r="L47" s="41"/>
      <c r="M47" s="41"/>
    </row>
    <row r="48" spans="2:13" ht="12.75" x14ac:dyDescent="0.2">
      <c r="B48" s="95"/>
      <c r="C48" s="93"/>
      <c r="D48" s="94"/>
      <c r="E48" s="90"/>
      <c r="F48" s="16"/>
      <c r="G48" s="25"/>
      <c r="H48" s="103"/>
      <c r="J48" s="338"/>
      <c r="K48" s="46"/>
      <c r="L48" s="41"/>
      <c r="M48" s="41"/>
    </row>
    <row r="49" spans="2:13" ht="12.75" x14ac:dyDescent="0.2">
      <c r="B49" s="128" t="s">
        <v>1045</v>
      </c>
      <c r="C49" s="128" t="s">
        <v>1046</v>
      </c>
      <c r="D49" s="94"/>
      <c r="E49" s="90"/>
      <c r="F49" s="16"/>
      <c r="G49" s="25"/>
      <c r="H49" s="103"/>
      <c r="J49" s="338"/>
      <c r="K49" s="46"/>
      <c r="L49" s="41"/>
      <c r="M49" s="41"/>
    </row>
    <row r="50" spans="2:13" ht="12.75" x14ac:dyDescent="0.2">
      <c r="B50" s="95"/>
      <c r="C50" s="93"/>
      <c r="D50" s="94"/>
      <c r="E50" s="90"/>
      <c r="F50" s="16"/>
      <c r="G50" s="25"/>
      <c r="H50" s="103"/>
      <c r="J50" s="338"/>
      <c r="K50" s="46"/>
      <c r="L50" s="41"/>
      <c r="M50" s="41"/>
    </row>
    <row r="51" spans="2:13" ht="12.75" x14ac:dyDescent="0.2">
      <c r="B51" s="95" t="s">
        <v>1047</v>
      </c>
      <c r="C51" s="93" t="s">
        <v>1048</v>
      </c>
      <c r="D51" s="94"/>
      <c r="E51" s="90"/>
      <c r="F51" s="16"/>
      <c r="G51" s="25"/>
      <c r="H51" s="103"/>
      <c r="J51" s="338"/>
      <c r="K51" s="46"/>
      <c r="L51" s="41"/>
      <c r="M51" s="41"/>
    </row>
    <row r="52" spans="2:13" ht="12.75" x14ac:dyDescent="0.2">
      <c r="B52" s="95"/>
      <c r="C52" s="93"/>
      <c r="D52" s="94"/>
      <c r="E52" s="90"/>
      <c r="F52" s="16"/>
      <c r="G52" s="25"/>
      <c r="H52" s="103"/>
      <c r="J52" s="338"/>
      <c r="K52" s="46"/>
      <c r="L52" s="41"/>
      <c r="M52" s="41"/>
    </row>
    <row r="53" spans="2:13" ht="12.75" x14ac:dyDescent="0.2">
      <c r="B53" s="95"/>
      <c r="C53" s="156" t="s">
        <v>705</v>
      </c>
      <c r="D53" s="157" t="s">
        <v>22</v>
      </c>
      <c r="E53" s="99">
        <v>12</v>
      </c>
      <c r="F53" s="16"/>
      <c r="G53" s="25">
        <f t="shared" si="2"/>
        <v>0</v>
      </c>
      <c r="H53" s="103"/>
      <c r="J53" s="41"/>
      <c r="K53" s="46"/>
      <c r="L53" s="41"/>
      <c r="M53" s="41"/>
    </row>
    <row r="54" spans="2:13" s="405" customFormat="1" ht="12.75" x14ac:dyDescent="0.2">
      <c r="B54" s="392"/>
      <c r="C54" s="397"/>
      <c r="D54" s="398"/>
      <c r="E54" s="395"/>
      <c r="F54" s="16"/>
      <c r="G54" s="25" t="str">
        <f t="shared" si="2"/>
        <v/>
      </c>
      <c r="H54" s="404"/>
      <c r="J54" s="406"/>
      <c r="K54" s="408"/>
      <c r="L54" s="406"/>
      <c r="M54" s="406"/>
    </row>
    <row r="55" spans="2:13" ht="12.75" x14ac:dyDescent="0.2">
      <c r="B55" s="95"/>
      <c r="C55" s="156" t="s">
        <v>706</v>
      </c>
      <c r="D55" s="157" t="s">
        <v>22</v>
      </c>
      <c r="E55" s="99">
        <v>6</v>
      </c>
      <c r="F55" s="16"/>
      <c r="G55" s="25">
        <f t="shared" si="2"/>
        <v>0</v>
      </c>
      <c r="H55" s="103"/>
      <c r="J55" s="41"/>
      <c r="K55" s="46"/>
      <c r="L55" s="41"/>
      <c r="M55" s="41"/>
    </row>
    <row r="56" spans="2:13" s="405" customFormat="1" ht="12.75" x14ac:dyDescent="0.2">
      <c r="B56" s="392"/>
      <c r="C56" s="393"/>
      <c r="D56" s="394"/>
      <c r="E56" s="399"/>
      <c r="F56" s="16"/>
      <c r="G56" s="25" t="str">
        <f t="shared" si="2"/>
        <v/>
      </c>
      <c r="H56" s="404"/>
      <c r="J56" s="406"/>
      <c r="K56" s="408"/>
      <c r="L56" s="406"/>
      <c r="M56" s="406"/>
    </row>
    <row r="57" spans="2:13" ht="12.75" x14ac:dyDescent="0.2">
      <c r="B57" s="95"/>
      <c r="C57" s="156" t="s">
        <v>707</v>
      </c>
      <c r="D57" s="157" t="s">
        <v>22</v>
      </c>
      <c r="E57" s="90">
        <v>12</v>
      </c>
      <c r="F57" s="16"/>
      <c r="G57" s="25">
        <f t="shared" si="2"/>
        <v>0</v>
      </c>
      <c r="H57" s="103"/>
      <c r="J57" s="41"/>
      <c r="K57" s="46"/>
      <c r="L57" s="41"/>
      <c r="M57" s="41"/>
    </row>
    <row r="58" spans="2:13" s="405" customFormat="1" ht="12.75" x14ac:dyDescent="0.2">
      <c r="B58" s="400"/>
      <c r="C58" s="393"/>
      <c r="D58" s="401"/>
      <c r="E58" s="399"/>
      <c r="F58" s="16"/>
      <c r="G58" s="25" t="str">
        <f t="shared" si="2"/>
        <v/>
      </c>
      <c r="H58" s="404"/>
      <c r="J58" s="406"/>
      <c r="K58" s="408"/>
      <c r="L58" s="406"/>
      <c r="M58" s="406"/>
    </row>
    <row r="59" spans="2:13" ht="12.75" hidden="1" x14ac:dyDescent="0.2">
      <c r="B59" s="95"/>
      <c r="C59" s="156" t="s">
        <v>708</v>
      </c>
      <c r="D59" s="94" t="s">
        <v>22</v>
      </c>
      <c r="E59" s="504">
        <v>0</v>
      </c>
      <c r="F59" s="16"/>
      <c r="G59" s="25">
        <f t="shared" si="2"/>
        <v>0</v>
      </c>
      <c r="H59" s="103"/>
      <c r="J59" s="41"/>
      <c r="K59" s="46"/>
      <c r="L59" s="41"/>
      <c r="M59" s="41"/>
    </row>
    <row r="60" spans="2:13" s="405" customFormat="1" ht="12.75" x14ac:dyDescent="0.2">
      <c r="B60" s="392"/>
      <c r="C60" s="397"/>
      <c r="D60" s="394"/>
      <c r="E60" s="399"/>
      <c r="F60" s="16"/>
      <c r="G60" s="25" t="str">
        <f t="shared" si="2"/>
        <v/>
      </c>
      <c r="H60" s="404"/>
      <c r="J60" s="406"/>
      <c r="K60" s="408"/>
      <c r="L60" s="406"/>
      <c r="M60" s="406"/>
    </row>
    <row r="61" spans="2:13" ht="24" hidden="1" x14ac:dyDescent="0.2">
      <c r="B61" s="101" t="s">
        <v>709</v>
      </c>
      <c r="C61" s="93" t="s">
        <v>710</v>
      </c>
      <c r="D61" s="94"/>
      <c r="E61" s="90"/>
      <c r="F61" s="16"/>
      <c r="G61" s="25" t="str">
        <f t="shared" si="2"/>
        <v/>
      </c>
      <c r="H61" s="103"/>
      <c r="J61" s="41"/>
      <c r="K61" s="46"/>
      <c r="L61" s="41"/>
      <c r="M61" s="41"/>
    </row>
    <row r="62" spans="2:13" s="405" customFormat="1" ht="12.75" hidden="1" x14ac:dyDescent="0.2">
      <c r="B62" s="402"/>
      <c r="C62" s="393"/>
      <c r="D62" s="394"/>
      <c r="E62" s="399"/>
      <c r="F62" s="16"/>
      <c r="G62" s="25" t="str">
        <f t="shared" si="2"/>
        <v/>
      </c>
      <c r="H62" s="404"/>
      <c r="J62" s="406"/>
      <c r="K62" s="408"/>
      <c r="L62" s="406"/>
      <c r="M62" s="406"/>
    </row>
    <row r="63" spans="2:13" ht="12.75" hidden="1" x14ac:dyDescent="0.2">
      <c r="B63" s="101"/>
      <c r="C63" s="156" t="s">
        <v>705</v>
      </c>
      <c r="D63" s="157" t="s">
        <v>22</v>
      </c>
      <c r="E63" s="99">
        <v>0</v>
      </c>
      <c r="F63" s="16"/>
      <c r="G63" s="25">
        <f t="shared" si="2"/>
        <v>0</v>
      </c>
      <c r="H63" s="103"/>
      <c r="J63" s="41"/>
      <c r="K63" s="46"/>
      <c r="L63" s="41"/>
      <c r="M63" s="41"/>
    </row>
    <row r="64" spans="2:13" s="405" customFormat="1" ht="12.75" hidden="1" x14ac:dyDescent="0.2">
      <c r="B64" s="402"/>
      <c r="C64" s="397"/>
      <c r="D64" s="398"/>
      <c r="E64" s="395"/>
      <c r="F64" s="16"/>
      <c r="G64" s="25" t="str">
        <f t="shared" si="2"/>
        <v/>
      </c>
      <c r="H64" s="404"/>
      <c r="J64" s="406"/>
      <c r="K64" s="408"/>
      <c r="L64" s="406"/>
      <c r="M64" s="406"/>
    </row>
    <row r="65" spans="2:13" ht="12.75" hidden="1" x14ac:dyDescent="0.2">
      <c r="B65" s="101"/>
      <c r="C65" s="156" t="s">
        <v>706</v>
      </c>
      <c r="D65" s="157" t="s">
        <v>22</v>
      </c>
      <c r="E65" s="99">
        <v>0</v>
      </c>
      <c r="F65" s="16"/>
      <c r="G65" s="25">
        <f t="shared" si="2"/>
        <v>0</v>
      </c>
      <c r="H65" s="103"/>
      <c r="J65" s="41"/>
      <c r="K65" s="46"/>
      <c r="L65" s="41"/>
      <c r="M65" s="41"/>
    </row>
    <row r="66" spans="2:13" s="405" customFormat="1" ht="12.75" hidden="1" x14ac:dyDescent="0.2">
      <c r="B66" s="400"/>
      <c r="C66" s="393"/>
      <c r="D66" s="401"/>
      <c r="E66" s="399"/>
      <c r="F66" s="16"/>
      <c r="G66" s="25" t="str">
        <f t="shared" si="2"/>
        <v/>
      </c>
      <c r="H66" s="404"/>
      <c r="J66" s="406"/>
      <c r="K66" s="408"/>
      <c r="L66" s="406"/>
      <c r="M66" s="406"/>
    </row>
    <row r="67" spans="2:13" ht="24" hidden="1" x14ac:dyDescent="0.2">
      <c r="B67" s="95" t="s">
        <v>711</v>
      </c>
      <c r="C67" s="93" t="s">
        <v>712</v>
      </c>
      <c r="D67" s="94"/>
      <c r="E67" s="90"/>
      <c r="F67" s="16"/>
      <c r="G67" s="25" t="str">
        <f t="shared" si="2"/>
        <v/>
      </c>
      <c r="H67" s="103"/>
      <c r="J67" s="41"/>
      <c r="K67" s="46"/>
      <c r="L67" s="41"/>
      <c r="M67" s="41"/>
    </row>
    <row r="68" spans="2:13" s="405" customFormat="1" ht="12.75" hidden="1" x14ac:dyDescent="0.2">
      <c r="B68" s="392"/>
      <c r="C68" s="393"/>
      <c r="D68" s="394"/>
      <c r="E68" s="399"/>
      <c r="F68" s="16"/>
      <c r="G68" s="25" t="str">
        <f t="shared" si="2"/>
        <v/>
      </c>
      <c r="H68" s="404"/>
      <c r="J68" s="406"/>
      <c r="K68" s="408"/>
      <c r="L68" s="406"/>
      <c r="M68" s="406"/>
    </row>
    <row r="69" spans="2:13" ht="12.75" hidden="1" x14ac:dyDescent="0.2">
      <c r="B69" s="95"/>
      <c r="C69" s="156" t="s">
        <v>707</v>
      </c>
      <c r="D69" s="157" t="s">
        <v>22</v>
      </c>
      <c r="E69" s="90">
        <v>0</v>
      </c>
      <c r="F69" s="16"/>
      <c r="G69" s="25">
        <f t="shared" si="2"/>
        <v>0</v>
      </c>
      <c r="H69" s="103"/>
      <c r="J69" s="41"/>
      <c r="K69" s="46"/>
      <c r="L69" s="41"/>
      <c r="M69" s="41"/>
    </row>
    <row r="70" spans="2:13" ht="12.75" x14ac:dyDescent="0.2">
      <c r="B70" s="95" t="s">
        <v>288</v>
      </c>
      <c r="C70" s="93" t="s">
        <v>287</v>
      </c>
      <c r="D70" s="94"/>
      <c r="E70" s="92"/>
      <c r="F70" s="16"/>
      <c r="G70" s="25" t="str">
        <f t="shared" si="2"/>
        <v/>
      </c>
      <c r="H70" s="103"/>
      <c r="J70" s="41"/>
      <c r="K70" s="46" t="str">
        <f t="shared" si="0"/>
        <v/>
      </c>
      <c r="L70" s="41"/>
      <c r="M70" s="41"/>
    </row>
    <row r="71" spans="2:13" s="405" customFormat="1" ht="11.25" x14ac:dyDescent="0.2">
      <c r="B71" s="400"/>
      <c r="C71" s="393"/>
      <c r="D71" s="401"/>
      <c r="E71" s="401"/>
      <c r="F71" s="396"/>
      <c r="G71" s="403" t="str">
        <f t="shared" si="2"/>
        <v/>
      </c>
      <c r="H71" s="404"/>
      <c r="J71" s="406"/>
      <c r="K71" s="408" t="str">
        <f t="shared" si="0"/>
        <v/>
      </c>
      <c r="L71" s="406"/>
      <c r="M71" s="406"/>
    </row>
    <row r="72" spans="2:13" ht="12.75" x14ac:dyDescent="0.2">
      <c r="B72" s="95" t="s">
        <v>286</v>
      </c>
      <c r="C72" s="93" t="s">
        <v>285</v>
      </c>
      <c r="D72" s="114" t="s">
        <v>177</v>
      </c>
      <c r="E72" s="92">
        <v>30</v>
      </c>
      <c r="F72" s="16"/>
      <c r="G72" s="25">
        <f t="shared" si="2"/>
        <v>0</v>
      </c>
      <c r="H72" s="103"/>
      <c r="J72" s="41"/>
      <c r="K72" s="46" t="str">
        <f t="shared" si="0"/>
        <v/>
      </c>
      <c r="L72" s="41"/>
      <c r="M72" s="41"/>
    </row>
    <row r="73" spans="2:13" s="405" customFormat="1" ht="11.25" x14ac:dyDescent="0.2">
      <c r="B73" s="400"/>
      <c r="C73" s="393"/>
      <c r="D73" s="401"/>
      <c r="E73" s="401"/>
      <c r="F73" s="396"/>
      <c r="G73" s="403" t="str">
        <f t="shared" si="2"/>
        <v/>
      </c>
      <c r="H73" s="404"/>
      <c r="J73" s="406"/>
      <c r="K73" s="408" t="str">
        <f t="shared" si="0"/>
        <v/>
      </c>
      <c r="L73" s="406"/>
      <c r="M73" s="406"/>
    </row>
    <row r="74" spans="2:13" ht="12.75" x14ac:dyDescent="0.2">
      <c r="B74" s="95" t="s">
        <v>284</v>
      </c>
      <c r="C74" s="93" t="s">
        <v>283</v>
      </c>
      <c r="D74" s="114" t="s">
        <v>177</v>
      </c>
      <c r="E74" s="92">
        <v>30</v>
      </c>
      <c r="F74" s="16"/>
      <c r="G74" s="25">
        <f t="shared" si="2"/>
        <v>0</v>
      </c>
      <c r="H74" s="103"/>
      <c r="J74" s="41"/>
      <c r="K74" s="46" t="str">
        <f t="shared" si="0"/>
        <v/>
      </c>
      <c r="L74" s="41"/>
      <c r="M74" s="41"/>
    </row>
    <row r="75" spans="2:13" s="405" customFormat="1" ht="11.25" x14ac:dyDescent="0.2">
      <c r="B75" s="400"/>
      <c r="C75" s="393"/>
      <c r="D75" s="401"/>
      <c r="E75" s="401"/>
      <c r="F75" s="396"/>
      <c r="G75" s="403" t="str">
        <f t="shared" si="2"/>
        <v/>
      </c>
      <c r="H75" s="404"/>
      <c r="J75" s="406"/>
      <c r="K75" s="408" t="str">
        <f t="shared" si="0"/>
        <v/>
      </c>
      <c r="L75" s="406"/>
      <c r="M75" s="406"/>
    </row>
    <row r="76" spans="2:13" ht="12.75" hidden="1" x14ac:dyDescent="0.2">
      <c r="B76" s="95" t="s">
        <v>282</v>
      </c>
      <c r="C76" s="93" t="s">
        <v>281</v>
      </c>
      <c r="D76" s="114" t="s">
        <v>177</v>
      </c>
      <c r="E76" s="91">
        <v>0</v>
      </c>
      <c r="F76" s="16"/>
      <c r="G76" s="25">
        <f t="shared" si="2"/>
        <v>0</v>
      </c>
      <c r="H76" s="104"/>
      <c r="J76" s="41"/>
      <c r="K76" s="46" t="str">
        <f t="shared" si="0"/>
        <v/>
      </c>
      <c r="L76" s="41"/>
      <c r="M76" s="41"/>
    </row>
    <row r="77" spans="2:13" s="405" customFormat="1" ht="11.25" x14ac:dyDescent="0.2">
      <c r="B77" s="400"/>
      <c r="C77" s="393"/>
      <c r="D77" s="401"/>
      <c r="E77" s="401"/>
      <c r="F77" s="396"/>
      <c r="G77" s="403" t="str">
        <f t="shared" si="2"/>
        <v/>
      </c>
      <c r="H77" s="404"/>
      <c r="J77" s="406"/>
      <c r="K77" s="408" t="str">
        <f t="shared" si="0"/>
        <v/>
      </c>
      <c r="L77" s="406"/>
      <c r="M77" s="406"/>
    </row>
    <row r="78" spans="2:13" ht="12.75" x14ac:dyDescent="0.2">
      <c r="B78" s="95" t="s">
        <v>280</v>
      </c>
      <c r="C78" s="93" t="s">
        <v>279</v>
      </c>
      <c r="D78" s="94" t="s">
        <v>24</v>
      </c>
      <c r="E78" s="91">
        <v>4000</v>
      </c>
      <c r="F78" s="16"/>
      <c r="G78" s="25">
        <f t="shared" si="2"/>
        <v>0</v>
      </c>
      <c r="H78" s="105"/>
      <c r="J78" s="41"/>
      <c r="K78" s="46" t="str">
        <f t="shared" si="0"/>
        <v/>
      </c>
      <c r="L78" s="41"/>
      <c r="M78" s="41"/>
    </row>
    <row r="79" spans="2:13" s="405" customFormat="1" ht="11.25" x14ac:dyDescent="0.2">
      <c r="B79" s="400"/>
      <c r="C79" s="413"/>
      <c r="D79" s="414"/>
      <c r="E79" s="414"/>
      <c r="F79" s="396"/>
      <c r="G79" s="403" t="str">
        <f t="shared" si="2"/>
        <v/>
      </c>
      <c r="H79" s="412"/>
      <c r="J79" s="406"/>
      <c r="K79" s="408" t="str">
        <f t="shared" si="0"/>
        <v/>
      </c>
      <c r="L79" s="406"/>
      <c r="M79" s="406"/>
    </row>
    <row r="80" spans="2:13" s="113" customFormat="1" ht="12.75" x14ac:dyDescent="0.2">
      <c r="B80" s="98" t="s">
        <v>278</v>
      </c>
      <c r="C80" s="505" t="s">
        <v>277</v>
      </c>
      <c r="D80" s="506"/>
      <c r="E80" s="507"/>
      <c r="F80" s="431"/>
      <c r="G80" s="432" t="str">
        <f t="shared" si="2"/>
        <v/>
      </c>
      <c r="J80" s="447"/>
      <c r="K80" s="448" t="str">
        <f t="shared" si="0"/>
        <v/>
      </c>
      <c r="L80" s="447"/>
      <c r="M80" s="447"/>
    </row>
    <row r="81" spans="2:13" s="405" customFormat="1" ht="11.25" x14ac:dyDescent="0.2">
      <c r="B81" s="400"/>
      <c r="C81" s="393"/>
      <c r="D81" s="401"/>
      <c r="E81" s="401"/>
      <c r="F81" s="396"/>
      <c r="G81" s="403" t="str">
        <f t="shared" si="2"/>
        <v/>
      </c>
      <c r="H81" s="404"/>
      <c r="J81" s="406"/>
      <c r="K81" s="408" t="str">
        <f t="shared" si="0"/>
        <v/>
      </c>
      <c r="L81" s="406"/>
      <c r="M81" s="406"/>
    </row>
    <row r="82" spans="2:13" ht="12.75" x14ac:dyDescent="0.2">
      <c r="B82" s="101" t="s">
        <v>276</v>
      </c>
      <c r="C82" s="93" t="s">
        <v>421</v>
      </c>
      <c r="D82" s="94"/>
      <c r="E82" s="92"/>
      <c r="F82" s="16"/>
      <c r="G82" s="25"/>
      <c r="H82" s="103"/>
      <c r="J82" s="41"/>
      <c r="K82" s="46" t="str">
        <f t="shared" ref="K82:K93" si="3">IF(J82="","",J82*E82)</f>
        <v/>
      </c>
      <c r="L82" s="41"/>
      <c r="M82" s="41"/>
    </row>
    <row r="83" spans="2:13" s="405" customFormat="1" ht="6.95" customHeight="1" x14ac:dyDescent="0.2">
      <c r="B83" s="402"/>
      <c r="C83" s="393"/>
      <c r="D83" s="394"/>
      <c r="E83" s="401"/>
      <c r="F83" s="396"/>
      <c r="G83" s="403" t="str">
        <f t="shared" si="2"/>
        <v/>
      </c>
      <c r="H83" s="404"/>
      <c r="J83" s="406"/>
      <c r="K83" s="408" t="str">
        <f t="shared" si="3"/>
        <v/>
      </c>
      <c r="L83" s="406"/>
      <c r="M83" s="406"/>
    </row>
    <row r="84" spans="2:13" ht="36" x14ac:dyDescent="0.2">
      <c r="B84" s="101"/>
      <c r="C84" s="93" t="s">
        <v>420</v>
      </c>
      <c r="D84" s="94" t="s">
        <v>33</v>
      </c>
      <c r="E84" s="91">
        <v>12000</v>
      </c>
      <c r="F84" s="16"/>
      <c r="G84" s="17">
        <f>IF(D84="","",E84*F84)</f>
        <v>0</v>
      </c>
      <c r="H84" s="103"/>
      <c r="J84" s="338">
        <v>9</v>
      </c>
      <c r="K84" s="46">
        <f t="shared" si="3"/>
        <v>108000</v>
      </c>
      <c r="L84" s="41"/>
      <c r="M84" s="41"/>
    </row>
    <row r="85" spans="2:13" s="405" customFormat="1" ht="5.45" customHeight="1" x14ac:dyDescent="0.2">
      <c r="B85" s="402"/>
      <c r="C85" s="393"/>
      <c r="D85" s="394"/>
      <c r="E85" s="401"/>
      <c r="F85" s="396"/>
      <c r="G85" s="403" t="str">
        <f t="shared" ref="G85:G89" si="4">IF(D85="","",E85*F85)</f>
        <v/>
      </c>
      <c r="H85" s="404"/>
      <c r="J85" s="406"/>
      <c r="K85" s="408" t="str">
        <f t="shared" si="3"/>
        <v/>
      </c>
      <c r="L85" s="406"/>
      <c r="M85" s="406"/>
    </row>
    <row r="86" spans="2:13" ht="24" hidden="1" x14ac:dyDescent="0.2">
      <c r="B86" s="95" t="s">
        <v>275</v>
      </c>
      <c r="C86" s="93" t="s">
        <v>274</v>
      </c>
      <c r="D86" s="94" t="s">
        <v>22</v>
      </c>
      <c r="E86" s="388">
        <v>0</v>
      </c>
      <c r="F86" s="16"/>
      <c r="G86" s="25">
        <f t="shared" si="4"/>
        <v>0</v>
      </c>
      <c r="H86" s="103"/>
      <c r="J86" s="346">
        <f>F86*10%</f>
        <v>0</v>
      </c>
      <c r="K86" s="46">
        <f t="shared" si="3"/>
        <v>0</v>
      </c>
      <c r="L86" s="41"/>
      <c r="M86" s="41"/>
    </row>
    <row r="87" spans="2:13" ht="12.75" x14ac:dyDescent="0.2">
      <c r="B87" s="95"/>
      <c r="C87" s="93"/>
      <c r="D87" s="94"/>
      <c r="E87" s="388"/>
      <c r="F87" s="16"/>
      <c r="G87" s="25" t="str">
        <f t="shared" si="4"/>
        <v/>
      </c>
      <c r="H87" s="103"/>
      <c r="J87" s="346"/>
      <c r="K87" s="46"/>
      <c r="L87" s="41"/>
      <c r="M87" s="41"/>
    </row>
    <row r="88" spans="2:13" ht="12.75" x14ac:dyDescent="0.2">
      <c r="B88" s="95" t="s">
        <v>1049</v>
      </c>
      <c r="C88" s="93" t="s">
        <v>1050</v>
      </c>
      <c r="D88" s="94" t="s">
        <v>33</v>
      </c>
      <c r="E88" s="388">
        <v>200</v>
      </c>
      <c r="F88" s="16"/>
      <c r="G88" s="25">
        <f t="shared" si="4"/>
        <v>0</v>
      </c>
      <c r="H88" s="103"/>
      <c r="J88" s="346"/>
      <c r="K88" s="46"/>
      <c r="L88" s="41"/>
      <c r="M88" s="41"/>
    </row>
    <row r="89" spans="2:13" ht="12.75" x14ac:dyDescent="0.2">
      <c r="B89" s="95"/>
      <c r="C89" s="93"/>
      <c r="D89" s="94"/>
      <c r="E89" s="388"/>
      <c r="F89" s="16"/>
      <c r="G89" s="25" t="str">
        <f t="shared" si="4"/>
        <v/>
      </c>
      <c r="H89" s="103"/>
      <c r="J89" s="346"/>
      <c r="K89" s="46"/>
      <c r="L89" s="41"/>
      <c r="M89" s="41"/>
    </row>
    <row r="90" spans="2:13" ht="12.75" x14ac:dyDescent="0.2">
      <c r="B90" s="95"/>
      <c r="C90" s="93"/>
      <c r="D90" s="94"/>
      <c r="E90" s="388"/>
      <c r="F90" s="16"/>
      <c r="G90" s="25"/>
      <c r="H90" s="103"/>
      <c r="J90" s="346"/>
      <c r="K90" s="46"/>
      <c r="L90" s="41"/>
      <c r="M90" s="41"/>
    </row>
    <row r="91" spans="2:13" ht="12.75" x14ac:dyDescent="0.2">
      <c r="B91" s="95"/>
      <c r="C91" s="93"/>
      <c r="D91" s="94"/>
      <c r="E91" s="388"/>
      <c r="F91" s="16"/>
      <c r="G91" s="25"/>
      <c r="H91" s="103"/>
      <c r="J91" s="346"/>
      <c r="K91" s="46"/>
      <c r="L91" s="41"/>
      <c r="M91" s="41"/>
    </row>
    <row r="92" spans="2:13" ht="12.75" x14ac:dyDescent="0.2">
      <c r="B92" s="95"/>
      <c r="C92" s="93"/>
      <c r="D92" s="94"/>
      <c r="E92" s="388"/>
      <c r="F92" s="16"/>
      <c r="G92" s="25"/>
      <c r="H92" s="103"/>
      <c r="J92" s="346"/>
      <c r="K92" s="46"/>
      <c r="L92" s="41"/>
      <c r="M92" s="41"/>
    </row>
    <row r="93" spans="2:13" ht="6.95" customHeight="1" x14ac:dyDescent="0.2">
      <c r="B93" s="102"/>
      <c r="C93" s="93"/>
      <c r="D93" s="92"/>
      <c r="E93" s="92"/>
      <c r="F93" s="16"/>
      <c r="G93" s="25" t="str">
        <f>IF(D93="","",E93*F93)</f>
        <v/>
      </c>
      <c r="H93" s="103"/>
      <c r="J93" s="41"/>
      <c r="K93" s="46" t="str">
        <f t="shared" si="3"/>
        <v/>
      </c>
      <c r="L93" s="41"/>
      <c r="M93" s="41"/>
    </row>
    <row r="94" spans="2:13" s="30" customFormat="1" ht="19.5" customHeight="1" x14ac:dyDescent="0.2">
      <c r="B94" s="121" t="str">
        <f>$B$11</f>
        <v>C11.7</v>
      </c>
      <c r="C94" s="32" t="s">
        <v>700</v>
      </c>
      <c r="D94" s="33"/>
      <c r="E94" s="34"/>
      <c r="F94" s="33"/>
      <c r="G94" s="352">
        <f>SUM(G10:G93)</f>
        <v>0</v>
      </c>
      <c r="H94" s="36"/>
      <c r="K94" s="35">
        <f>SUM(K10:K93)</f>
        <v>108000</v>
      </c>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66"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94" max="7" man="1"/>
  </rowBreaks>
  <extLst>
    <ext xmlns:x14="http://schemas.microsoft.com/office/spreadsheetml/2009/9/main" uri="{78C0D931-6437-407d-A8EE-F0AAD7539E65}">
      <x14:conditionalFormattings>
        <x14:conditionalFormatting xmlns:xm="http://schemas.microsoft.com/office/excel/2006/main">
          <x14:cfRule type="expression" priority="2" id="{4459CA99-FDC2-49C7-9715-87E474539C5D}">
            <xm:f>AND(Information!$C$8=FALSE,$D10&lt;&gt;"P C Sum",$D10&lt;&gt;"PC Sum",$D10&lt;&gt;"P Sum",$D10&lt;&gt;"Prov Sum")</xm:f>
            <x14:dxf>
              <font>
                <strike val="0"/>
                <color theme="0"/>
              </font>
              <numFmt numFmtId="4" formatCode="#,##0.00"/>
            </x14:dxf>
          </x14:cfRule>
          <xm:sqref>F10:G93</xm:sqref>
        </x14:conditionalFormatting>
        <x14:conditionalFormatting xmlns:xm="http://schemas.microsoft.com/office/excel/2006/main">
          <x14:cfRule type="expression" priority="1" id="{2673E2C4-EFE1-4E59-A97C-2633CFE712C7}">
            <xm:f>AND(Information!$C$8=FALSE,$D94&lt;&gt;"P C Sum",$D94&lt;&gt;"PC Sum",$D94&lt;&gt;"P Sum",$D94&lt;&gt;"Prov Sum")</xm:f>
            <x14:dxf>
              <font>
                <strike val="0"/>
                <color theme="0"/>
              </font>
              <numFmt numFmtId="4" formatCode="#,##0.00"/>
            </x14:dxf>
          </x14:cfRule>
          <xm:sqref>G94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69</vt:i4>
      </vt:variant>
    </vt:vector>
  </HeadingPairs>
  <TitlesOfParts>
    <vt:vector size="111" baseType="lpstr">
      <vt:lpstr>Information</vt:lpstr>
      <vt:lpstr>C1.2</vt:lpstr>
      <vt:lpstr>C1.3</vt:lpstr>
      <vt:lpstr>C1.5</vt:lpstr>
      <vt:lpstr>C1.6 </vt:lpstr>
      <vt:lpstr>C1.7</vt:lpstr>
      <vt:lpstr>C2.1</vt:lpstr>
      <vt:lpstr>C3.1 </vt:lpstr>
      <vt:lpstr>C3.2</vt:lpstr>
      <vt:lpstr>C3.3</vt:lpstr>
      <vt:lpstr>C4.3</vt:lpstr>
      <vt:lpstr>C4.4</vt:lpstr>
      <vt:lpstr>C5.2</vt:lpstr>
      <vt:lpstr>C8.1</vt:lpstr>
      <vt:lpstr>C8.5</vt:lpstr>
      <vt:lpstr>C8.8</vt:lpstr>
      <vt:lpstr>C9.1</vt:lpstr>
      <vt:lpstr>C10.1</vt:lpstr>
      <vt:lpstr>C11.1</vt:lpstr>
      <vt:lpstr>C11.2</vt:lpstr>
      <vt:lpstr>C11.3</vt:lpstr>
      <vt:lpstr>C11.4</vt:lpstr>
      <vt:lpstr>C11.6</vt:lpstr>
      <vt:lpstr>C11.7</vt:lpstr>
      <vt:lpstr>C11.9</vt:lpstr>
      <vt:lpstr>C13.8</vt:lpstr>
      <vt:lpstr>C14</vt:lpstr>
      <vt:lpstr>C20.1</vt:lpstr>
      <vt:lpstr>PSC15.1</vt:lpstr>
      <vt:lpstr>A1</vt:lpstr>
      <vt:lpstr>Chapter E</vt:lpstr>
      <vt:lpstr>E1</vt:lpstr>
      <vt:lpstr>Chapter F</vt:lpstr>
      <vt:lpstr>F1</vt:lpstr>
      <vt:lpstr>Summary1</vt:lpstr>
      <vt:lpstr>CPG</vt:lpstr>
      <vt:lpstr>C1.6 CPG </vt:lpstr>
      <vt:lpstr>C3.1  CPG</vt:lpstr>
      <vt:lpstr>C3.3 CPG</vt:lpstr>
      <vt:lpstr>C11.2 CPG</vt:lpstr>
      <vt:lpstr>C11.4 CPG</vt:lpstr>
      <vt:lpstr>C11.7 CPG</vt:lpstr>
      <vt:lpstr>_Backfill</vt:lpstr>
      <vt:lpstr>_Clearing</vt:lpstr>
      <vt:lpstr>_Duration</vt:lpstr>
      <vt:lpstr>_Excavation</vt:lpstr>
      <vt:lpstr>_Geofabric</vt:lpstr>
      <vt:lpstr>_HaulPerMetre</vt:lpstr>
      <vt:lpstr>_Kerb</vt:lpstr>
      <vt:lpstr>_LabourDaily</vt:lpstr>
      <vt:lpstr>_LabourRate</vt:lpstr>
      <vt:lpstr>_Mix</vt:lpstr>
      <vt:lpstr>_Place</vt:lpstr>
      <vt:lpstr>_Spread</vt:lpstr>
      <vt:lpstr>_Stamp</vt:lpstr>
      <vt:lpstr>_Subsoil</vt:lpstr>
      <vt:lpstr>_Summary</vt:lpstr>
      <vt:lpstr>_Wacker</vt:lpstr>
      <vt:lpstr>Client1</vt:lpstr>
      <vt:lpstr>Client2</vt:lpstr>
      <vt:lpstr>ContractDescription</vt:lpstr>
      <vt:lpstr>ContractNo</vt:lpstr>
      <vt:lpstr>Page_A</vt:lpstr>
      <vt:lpstr>Page_E</vt:lpstr>
      <vt:lpstr>Page_F</vt:lpstr>
      <vt:lpstr>'A1'!Print_Area</vt:lpstr>
      <vt:lpstr>C1.2!Print_Area</vt:lpstr>
      <vt:lpstr>C1.3!Print_Area</vt:lpstr>
      <vt:lpstr>C1.5!Print_Area</vt:lpstr>
      <vt:lpstr>'C1.6 '!Print_Area</vt:lpstr>
      <vt:lpstr>'C1.6 CPG '!Print_Area</vt:lpstr>
      <vt:lpstr>C1.7!Print_Area</vt:lpstr>
      <vt:lpstr>C11.1!Print_Area</vt:lpstr>
      <vt:lpstr>C11.2!Print_Area</vt:lpstr>
      <vt:lpstr>'C11.2 CPG'!Print_Area</vt:lpstr>
      <vt:lpstr>C11.3!Print_Area</vt:lpstr>
      <vt:lpstr>C11.4!Print_Area</vt:lpstr>
      <vt:lpstr>'C11.4 CPG'!Print_Area</vt:lpstr>
      <vt:lpstr>C11.6!Print_Area</vt:lpstr>
      <vt:lpstr>C11.7!Print_Area</vt:lpstr>
      <vt:lpstr>'C11.7 CPG'!Print_Area</vt:lpstr>
      <vt:lpstr>C11.9!Print_Area</vt:lpstr>
      <vt:lpstr>C13.8!Print_Area</vt:lpstr>
      <vt:lpstr>C2.1!Print_Area</vt:lpstr>
      <vt:lpstr>C20.1!Print_Area</vt:lpstr>
      <vt:lpstr>'C3.1 '!Print_Area</vt:lpstr>
      <vt:lpstr>'C3.1  CPG'!Print_Area</vt:lpstr>
      <vt:lpstr>C3.2!Print_Area</vt:lpstr>
      <vt:lpstr>C3.3!Print_Area</vt:lpstr>
      <vt:lpstr>'C3.3 CPG'!Print_Area</vt:lpstr>
      <vt:lpstr>C4.3!Print_Area</vt:lpstr>
      <vt:lpstr>C4.4!Print_Area</vt:lpstr>
      <vt:lpstr>C5.2!Print_Area</vt:lpstr>
      <vt:lpstr>C8.1!Print_Area</vt:lpstr>
      <vt:lpstr>C8.5!Print_Area</vt:lpstr>
      <vt:lpstr>C8.8!Print_Area</vt:lpstr>
      <vt:lpstr>C9.1!Print_Area</vt:lpstr>
      <vt:lpstr>'Chapter E'!Print_Area</vt:lpstr>
      <vt:lpstr>'Chapter F'!Print_Area</vt:lpstr>
      <vt:lpstr>CPG!Print_Area</vt:lpstr>
      <vt:lpstr>'E1'!Print_Area</vt:lpstr>
      <vt:lpstr>'F1'!Print_Area</vt:lpstr>
      <vt:lpstr>PSC15.1!Print_Area</vt:lpstr>
      <vt:lpstr>Summary1!Print_Area</vt:lpstr>
      <vt:lpstr>C11.1!Print_Titles</vt:lpstr>
      <vt:lpstr>C11.2!Print_Titles</vt:lpstr>
      <vt:lpstr>'C11.2 CPG'!Print_Titles</vt:lpstr>
      <vt:lpstr>C11.3!Print_Titles</vt:lpstr>
      <vt:lpstr>C11.7!Print_Titles</vt:lpstr>
      <vt:lpstr>'C11.7 CPG'!Print_Titles</vt:lpstr>
      <vt:lpstr>C11.9!Print_Titles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Mpume Damane</cp:lastModifiedBy>
  <cp:lastPrinted>2024-03-07T07:13:12Z</cp:lastPrinted>
  <dcterms:created xsi:type="dcterms:W3CDTF">2002-10-04T09:45:02Z</dcterms:created>
  <dcterms:modified xsi:type="dcterms:W3CDTF">2024-04-18T13:15:57Z</dcterms:modified>
</cp:coreProperties>
</file>